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 hidePivotFieldList="1"/>
  <xr:revisionPtr revIDLastSave="25" documentId="8_{F5BC1798-E7B3-49C1-BAAA-BC5F1B8A63B0}" xr6:coauthVersionLast="47" xr6:coauthVersionMax="47" xr10:uidLastSave="{3819C7DB-786D-4137-93FF-05AEEA819127}"/>
  <bookViews>
    <workbookView xWindow="-108" yWindow="-108" windowWidth="23256" windowHeight="12456" tabRatio="826" xr2:uid="{00000000-000D-0000-FFFF-FFFF00000000}"/>
  </bookViews>
  <sheets>
    <sheet name="Presupuesto para boda" sheetId="3" r:id="rId1"/>
  </sheets>
  <definedNames>
    <definedName name="_xlnm.Print_Area" localSheetId="0">'Presupuesto para boda'!$A:$K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3" l="1"/>
  <c r="E67" i="3"/>
  <c r="E66" i="3"/>
  <c r="E65" i="3"/>
  <c r="E64" i="3"/>
  <c r="E63" i="3"/>
  <c r="E62" i="3"/>
  <c r="E61" i="3"/>
  <c r="E60" i="3"/>
  <c r="J59" i="3"/>
  <c r="J58" i="3"/>
  <c r="J57" i="3"/>
  <c r="J56" i="3"/>
  <c r="J55" i="3"/>
  <c r="E55" i="3"/>
  <c r="J54" i="3"/>
  <c r="E54" i="3"/>
  <c r="J53" i="3"/>
  <c r="E53" i="3"/>
  <c r="J52" i="3"/>
  <c r="E52" i="3"/>
  <c r="J51" i="3"/>
  <c r="E51" i="3"/>
  <c r="J50" i="3"/>
  <c r="E50" i="3"/>
  <c r="E49" i="3"/>
  <c r="E48" i="3"/>
  <c r="E47" i="3"/>
  <c r="J45" i="3"/>
  <c r="J44" i="3"/>
  <c r="J43" i="3"/>
  <c r="J42" i="3"/>
  <c r="E42" i="3"/>
  <c r="J41" i="3"/>
  <c r="E41" i="3"/>
  <c r="J40" i="3"/>
  <c r="E40" i="3"/>
  <c r="J35" i="3"/>
  <c r="E35" i="3"/>
  <c r="J34" i="3"/>
  <c r="E34" i="3"/>
  <c r="J33" i="3"/>
  <c r="E33" i="3"/>
  <c r="J32" i="3"/>
  <c r="E32" i="3"/>
  <c r="J31" i="3"/>
  <c r="E27" i="3"/>
  <c r="E26" i="3"/>
  <c r="J25" i="3"/>
  <c r="E25" i="3"/>
  <c r="J24" i="3"/>
  <c r="E24" i="3"/>
  <c r="J23" i="3"/>
  <c r="E23" i="3"/>
  <c r="J22" i="3"/>
  <c r="E22" i="3"/>
  <c r="J21" i="3"/>
  <c r="E21" i="3"/>
  <c r="J20" i="3"/>
  <c r="E20" i="3"/>
  <c r="J67" i="3"/>
  <c r="J66" i="3"/>
  <c r="J65" i="3"/>
  <c r="J64" i="3"/>
  <c r="D28" i="3"/>
  <c r="P5" i="3" s="1"/>
  <c r="Q5" i="3" s="1"/>
  <c r="I26" i="3"/>
  <c r="P6" i="3" s="1"/>
  <c r="Q6" i="3" s="1"/>
  <c r="D36" i="3"/>
  <c r="P7" i="3" s="1"/>
  <c r="Q7" i="3" s="1"/>
  <c r="I36" i="3"/>
  <c r="P8" i="3" s="1"/>
  <c r="Q8" i="3" s="1"/>
  <c r="D43" i="3"/>
  <c r="P9" i="3" s="1"/>
  <c r="Q9" i="3" s="1"/>
  <c r="I46" i="3"/>
  <c r="P10" i="3" s="1"/>
  <c r="Q10" i="3" s="1"/>
  <c r="D56" i="3"/>
  <c r="P11" i="3" s="1"/>
  <c r="Q11" i="3" s="1"/>
  <c r="I60" i="3"/>
  <c r="P12" i="3" s="1"/>
  <c r="Q12" i="3" s="1"/>
  <c r="I68" i="3"/>
  <c r="P13" i="3" s="1"/>
  <c r="Q13" i="3" s="1"/>
  <c r="D68" i="3"/>
  <c r="P14" i="3" s="1"/>
  <c r="Q14" i="3" s="1"/>
  <c r="C28" i="3"/>
  <c r="O5" i="3" s="1"/>
  <c r="H26" i="3"/>
  <c r="O6" i="3" s="1"/>
  <c r="C36" i="3"/>
  <c r="O7" i="3" s="1"/>
  <c r="H36" i="3"/>
  <c r="O8" i="3" s="1"/>
  <c r="C43" i="3"/>
  <c r="O9" i="3" s="1"/>
  <c r="H46" i="3"/>
  <c r="O10" i="3" s="1"/>
  <c r="C56" i="3"/>
  <c r="O11" i="3" s="1"/>
  <c r="H60" i="3"/>
  <c r="O12" i="3" s="1"/>
  <c r="H68" i="3"/>
  <c r="O13" i="3" s="1"/>
  <c r="C68" i="3"/>
  <c r="O14" i="3" s="1"/>
  <c r="J68" i="3" l="1"/>
  <c r="E43" i="3"/>
  <c r="E36" i="3"/>
  <c r="J36" i="3"/>
  <c r="M8" i="3"/>
  <c r="E28" i="3"/>
  <c r="J26" i="3"/>
  <c r="E56" i="3"/>
  <c r="E68" i="3"/>
  <c r="J46" i="3"/>
  <c r="J60" i="3"/>
  <c r="M11" i="3"/>
  <c r="M14" i="3"/>
  <c r="M9" i="3"/>
  <c r="M10" i="3"/>
  <c r="M13" i="3"/>
  <c r="M7" i="3"/>
  <c r="M12" i="3"/>
  <c r="M6" i="3"/>
  <c r="M5" i="3"/>
  <c r="B13" i="3" l="1"/>
  <c r="C14" i="3"/>
  <c r="D9" i="3"/>
  <c r="D5" i="3"/>
  <c r="C7" i="3"/>
  <c r="D7" i="3"/>
  <c r="E7" i="3" s="1"/>
  <c r="C5" i="3"/>
  <c r="B9" i="3"/>
  <c r="D8" i="3"/>
  <c r="C9" i="3"/>
  <c r="B8" i="3"/>
  <c r="D10" i="3"/>
  <c r="D6" i="3"/>
  <c r="C12" i="3"/>
  <c r="B14" i="3"/>
  <c r="C13" i="3"/>
  <c r="B6" i="3"/>
  <c r="C6" i="3"/>
  <c r="D12" i="3"/>
  <c r="D11" i="3"/>
  <c r="B5" i="3"/>
  <c r="B10" i="3"/>
  <c r="C8" i="3"/>
  <c r="B12" i="3"/>
  <c r="B11" i="3"/>
  <c r="B7" i="3"/>
  <c r="C10" i="3"/>
  <c r="D14" i="3"/>
  <c r="C11" i="3"/>
  <c r="D13" i="3"/>
  <c r="E14" i="3" l="1"/>
  <c r="E9" i="3"/>
  <c r="E6" i="3"/>
  <c r="E12" i="3"/>
  <c r="E13" i="3"/>
  <c r="E11" i="3"/>
  <c r="E10" i="3"/>
  <c r="E5" i="3"/>
  <c r="E8" i="3"/>
  <c r="C15" i="3"/>
  <c r="D15" i="3"/>
  <c r="E15" i="3" l="1"/>
</calcChain>
</file>

<file path=xl/sharedStrings.xml><?xml version="1.0" encoding="utf-8"?>
<sst xmlns="http://schemas.openxmlformats.org/spreadsheetml/2006/main" count="137" uniqueCount="98">
  <si>
    <t>PRESUPUESTO PARA LA BODA</t>
  </si>
  <si>
    <t>RESUMEN</t>
  </si>
  <si>
    <t>Presupuesto total</t>
  </si>
  <si>
    <t>ROPA</t>
  </si>
  <si>
    <t>Anillo de compromiso</t>
  </si>
  <si>
    <t>Anillos de boda</t>
  </si>
  <si>
    <t>Esmoquin, traje o vestidos</t>
  </si>
  <si>
    <t>Velo/tocado</t>
  </si>
  <si>
    <t>Zapatos</t>
  </si>
  <si>
    <t>Joyas</t>
  </si>
  <si>
    <t>Accesorios</t>
  </si>
  <si>
    <t>Otros</t>
  </si>
  <si>
    <t>Total ropa</t>
  </si>
  <si>
    <t>REGALOS</t>
  </si>
  <si>
    <t>Asistentes</t>
  </si>
  <si>
    <t>Padres</t>
  </si>
  <si>
    <t>Lectores y otros participantes</t>
  </si>
  <si>
    <t>Total regalos</t>
  </si>
  <si>
    <t xml:space="preserve">MÚSICA </t>
  </si>
  <si>
    <t>Músicos para la ceremonia</t>
  </si>
  <si>
    <t>Banda o DJ para la recepción</t>
  </si>
  <si>
    <t>Total música</t>
  </si>
  <si>
    <t>RECEPCIÓN</t>
  </si>
  <si>
    <t>Gastos de habitaciones o sala</t>
  </si>
  <si>
    <t>Mesas y sillas</t>
  </si>
  <si>
    <t>Comida</t>
  </si>
  <si>
    <t>Bebidas</t>
  </si>
  <si>
    <t>Mantelería</t>
  </si>
  <si>
    <t>Tarta</t>
  </si>
  <si>
    <t>Detalles de los novios</t>
  </si>
  <si>
    <t>Personal y compensaciones</t>
  </si>
  <si>
    <t>Total recepción</t>
  </si>
  <si>
    <t>OTROS GASTOS</t>
  </si>
  <si>
    <t>Oficiante</t>
  </si>
  <si>
    <t>Cuota de la iglesia o del sitio de la ceremonia</t>
  </si>
  <si>
    <t>Coordinador de la boda</t>
  </si>
  <si>
    <t>Cena preboda</t>
  </si>
  <si>
    <t>Fiesta de compromiso</t>
  </si>
  <si>
    <t>Duchas</t>
  </si>
  <si>
    <t>Despedida de soltero y de soltera</t>
  </si>
  <si>
    <t>Habitaciones de hotel</t>
  </si>
  <si>
    <t>Total otros gastos</t>
  </si>
  <si>
    <t>ESTIMADO</t>
  </si>
  <si>
    <t>REAL</t>
  </si>
  <si>
    <t>DIFERENCIA</t>
  </si>
  <si>
    <t>RESUMEN DE LOS GASTOS REALES</t>
  </si>
  <si>
    <t>DECORACIONES</t>
  </si>
  <si>
    <t>Lazos para bancos de la iglesia</t>
  </si>
  <si>
    <t>Centros de mesa</t>
  </si>
  <si>
    <t>Velas</t>
  </si>
  <si>
    <t>Iluminación</t>
  </si>
  <si>
    <t>Globos</t>
  </si>
  <si>
    <t>Total adornos</t>
  </si>
  <si>
    <t>FLORES</t>
  </si>
  <si>
    <t>Ramos</t>
  </si>
  <si>
    <t>Flor del novio</t>
  </si>
  <si>
    <t>Ramilletes</t>
  </si>
  <si>
    <t>Ceremonia</t>
  </si>
  <si>
    <t>Recepción</t>
  </si>
  <si>
    <t>Total flores</t>
  </si>
  <si>
    <t>FOTOGRAFÍA</t>
  </si>
  <si>
    <t>Oficiales</t>
  </si>
  <si>
    <t>Candelabros</t>
  </si>
  <si>
    <t>Impresiones adicionales</t>
  </si>
  <si>
    <t>Álbumes de fotos</t>
  </si>
  <si>
    <t>Vídeo</t>
  </si>
  <si>
    <t>Total fotografía</t>
  </si>
  <si>
    <t>IMPRESIÓN Y PAPELERÍA</t>
  </si>
  <si>
    <t>Invitaciones</t>
  </si>
  <si>
    <t>Anuncios</t>
  </si>
  <si>
    <t>Tarjetas de agradecimiento</t>
  </si>
  <si>
    <t>Artículos de papelería personales</t>
  </si>
  <si>
    <t>Libro de invitados</t>
  </si>
  <si>
    <t>Programas</t>
  </si>
  <si>
    <t>Servilletas de la recepción</t>
  </si>
  <si>
    <t>Cajitas de cerillas</t>
  </si>
  <si>
    <t>Caligrafía</t>
  </si>
  <si>
    <t>Total de impresión o papelería</t>
  </si>
  <si>
    <t>TRANSPORTE</t>
  </si>
  <si>
    <t>Limusina/carruaje</t>
  </si>
  <si>
    <t>Aparcamiento</t>
  </si>
  <si>
    <t>Taxis</t>
  </si>
  <si>
    <t>Total transporte</t>
  </si>
  <si>
    <t>Rango</t>
  </si>
  <si>
    <t>Categoría</t>
  </si>
  <si>
    <t>Ropa</t>
  </si>
  <si>
    <t>Decoración</t>
  </si>
  <si>
    <t>Regalos</t>
  </si>
  <si>
    <t>Flores</t>
  </si>
  <si>
    <t>Música</t>
  </si>
  <si>
    <t>Fotografía</t>
  </si>
  <si>
    <t>Impresión o papelería</t>
  </si>
  <si>
    <t>Transporte</t>
  </si>
  <si>
    <t>Otros gastos</t>
  </si>
  <si>
    <t>Estimado</t>
  </si>
  <si>
    <t>Real</t>
  </si>
  <si>
    <t>Valor de clasificación</t>
  </si>
  <si>
    <t>Ref.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</si>
</sst>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164" formatCode="_(* #,##0_);_(* \(#,##0\);_(* &quot;-&quot;_);_(@_)"/>
    <numFmt numFmtId="165" formatCode="_(* #,##0.00_);_(* \(#,##0.00\);_(* &quot;-&quot;??_);_(@_)"/>
    <numFmt numFmtId="166" formatCode="#,##0.00\ &quot;€&quot;;[Red]\-#,##0.00\ &quot;€&quot;"/>
    <numFmt numFmtId="167" formatCode="_-* #,##0\ &quot;€&quot;_-;\-* #,##0\ &quot;€&quot;_-;_-* &quot;-&quot;\ &quot;€&quot;_-;_-@_-"/>
    <numFmt numFmtId="168" formatCode="_-* #,##0.00\ &quot;€&quot;_-;\-* #,##0.00\ &quot;€&quot;_-;_-* &quot;-&quot;??\ &quot;€&quot;_-;_-@_-"/>
    <numFmt numFmtId="169" formatCode="&quot;$&quot;#,##0.00"/>
    <numFmt numFmtId="170" formatCode="0.0000"/>
    <numFmt numFmtId="171" formatCode="#,##0.00\ &quot;€&quot;"/>
    <numFmt numFmtId="172" formatCode="#,##0.00\ &quot;€&quot;;[Red]#,##0.00\ &quot;€&quot;"/>
  </numFmts>
  <fonts count="35" x14ac:knownFonts="1">
    <font>
      <sz val="10"/>
      <name val="Arial"/>
      <family val="2"/>
    </font>
    <font>
      <sz val="11"/>
      <color theme="1"/>
      <name val="Arial"/>
      <family val="2"/>
      <scheme val="minor"/>
    </font>
    <font>
      <b/>
      <sz val="11"/>
      <color theme="3"/>
      <name val="Arial"/>
      <family val="2"/>
      <scheme val="minor"/>
    </font>
    <font>
      <sz val="18"/>
      <color theme="3"/>
      <name val="Perpetua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name val="Arial"/>
      <family val="2"/>
    </font>
    <font>
      <sz val="6"/>
      <name val="MS Gothic"/>
      <family val="3"/>
      <charset val="128"/>
    </font>
    <font>
      <sz val="11"/>
      <color theme="1" tint="0.14999847407452621"/>
      <name val="Abadi Extra Light"/>
      <family val="2"/>
    </font>
    <font>
      <sz val="11"/>
      <color theme="1" tint="0.249977111117893"/>
      <name val="Abadi Extra Light"/>
      <family val="2"/>
    </font>
    <font>
      <b/>
      <sz val="10"/>
      <color theme="3" tint="-0.499984740745262"/>
      <name val="Abadi Extra Light"/>
      <family val="2"/>
    </font>
    <font>
      <sz val="11"/>
      <color theme="0"/>
      <name val="Abadi Extra Light"/>
      <family val="2"/>
    </font>
    <font>
      <sz val="10"/>
      <color theme="3" tint="-0.499984740745262"/>
      <name val="Abadi Extra Light"/>
      <family val="2"/>
    </font>
    <font>
      <sz val="11"/>
      <name val="Abadi Extra Light"/>
      <family val="2"/>
    </font>
    <font>
      <sz val="11"/>
      <color theme="3" tint="-0.499984740745262"/>
      <name val="Abadi Extra Light"/>
      <family val="2"/>
    </font>
    <font>
      <b/>
      <sz val="11"/>
      <color theme="3"/>
      <name val="Abadi Extra Light"/>
      <family val="2"/>
    </font>
    <font>
      <sz val="11"/>
      <color theme="3"/>
      <name val="Abadi Extra Light"/>
      <family val="2"/>
    </font>
    <font>
      <b/>
      <sz val="11"/>
      <color theme="3" tint="-0.499984740745262"/>
      <name val="Abadi Extra Light"/>
      <family val="2"/>
    </font>
    <font>
      <sz val="30"/>
      <color theme="1" tint="0.14999847407452621"/>
      <name val="Abadi Extra Light"/>
      <family val="2"/>
    </font>
    <font>
      <sz val="30"/>
      <color theme="3" tint="-0.249977111117893"/>
      <name val="Abadi Extra Light"/>
      <family val="2"/>
    </font>
    <font>
      <b/>
      <sz val="30"/>
      <color theme="0"/>
      <name val="Abadi Extra Light"/>
      <family val="2"/>
    </font>
    <font>
      <b/>
      <sz val="30"/>
      <color rgb="FF136E42"/>
      <name val="Abadi Extra Light"/>
      <family val="2"/>
    </font>
    <font>
      <sz val="30"/>
      <color rgb="FF136E42"/>
      <name val="Abadi Extra Light"/>
      <family val="2"/>
    </font>
  </fonts>
  <fills count="3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medium">
        <color rgb="FF136E42"/>
      </left>
      <right/>
      <top style="medium">
        <color rgb="FF136E42"/>
      </top>
      <bottom/>
      <diagonal/>
    </border>
    <border>
      <left/>
      <right/>
      <top style="medium">
        <color rgb="FF136E42"/>
      </top>
      <bottom/>
      <diagonal/>
    </border>
    <border>
      <left/>
      <right style="medium">
        <color rgb="FF136E42"/>
      </right>
      <top style="medium">
        <color rgb="FF136E42"/>
      </top>
      <bottom/>
      <diagonal/>
    </border>
    <border>
      <left style="medium">
        <color rgb="FF136E42"/>
      </left>
      <right/>
      <top/>
      <bottom style="medium">
        <color rgb="FF136E42"/>
      </bottom>
      <diagonal/>
    </border>
    <border>
      <left/>
      <right/>
      <top/>
      <bottom style="medium">
        <color rgb="FF136E42"/>
      </bottom>
      <diagonal/>
    </border>
    <border>
      <left/>
      <right style="medium">
        <color rgb="FF136E42"/>
      </right>
      <top/>
      <bottom style="medium">
        <color rgb="FF136E42"/>
      </bottom>
      <diagonal/>
    </border>
  </borders>
  <cellStyleXfs count="47">
    <xf numFmtId="0" fontId="0" fillId="0" borderId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4" applyNumberFormat="0" applyFill="0" applyAlignment="0" applyProtection="0"/>
    <xf numFmtId="0" fontId="2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5" applyNumberFormat="0" applyAlignment="0" applyProtection="0"/>
    <xf numFmtId="0" fontId="10" fillId="7" borderId="6" applyNumberFormat="0" applyAlignment="0" applyProtection="0"/>
    <xf numFmtId="0" fontId="11" fillId="7" borderId="5" applyNumberFormat="0" applyAlignment="0" applyProtection="0"/>
    <xf numFmtId="0" fontId="12" fillId="0" borderId="7" applyNumberFormat="0" applyFill="0" applyAlignment="0" applyProtection="0"/>
    <xf numFmtId="0" fontId="13" fillId="8" borderId="8" applyNumberFormat="0" applyAlignment="0" applyProtection="0"/>
    <xf numFmtId="0" fontId="14" fillId="0" borderId="0" applyNumberFormat="0" applyFill="0" applyBorder="0" applyAlignment="0" applyProtection="0"/>
    <xf numFmtId="0" fontId="18" fillId="9" borderId="9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52">
    <xf numFmtId="0" fontId="0" fillId="0" borderId="0" xfId="0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 indent="1"/>
    </xf>
    <xf numFmtId="171" fontId="20" fillId="0" borderId="0" xfId="0" applyNumberFormat="1" applyFont="1" applyAlignment="1">
      <alignment horizontal="center" vertical="center"/>
    </xf>
    <xf numFmtId="0" fontId="22" fillId="2" borderId="1" xfId="0" applyFont="1" applyFill="1" applyBorder="1" applyAlignment="1">
      <alignment horizontal="left" vertical="center" indent="1"/>
    </xf>
    <xf numFmtId="171" fontId="22" fillId="2" borderId="1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0" fontId="24" fillId="0" borderId="0" xfId="0" applyFont="1" applyAlignment="1">
      <alignment horizontal="left" vertical="center" indent="1"/>
    </xf>
    <xf numFmtId="171" fontId="24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indent="1"/>
    </xf>
    <xf numFmtId="2" fontId="23" fillId="0" borderId="0" xfId="0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171" fontId="24" fillId="2" borderId="1" xfId="0" applyNumberFormat="1" applyFont="1" applyFill="1" applyBorder="1" applyAlignment="1">
      <alignment horizontal="center" vertical="center"/>
    </xf>
    <xf numFmtId="0" fontId="25" fillId="0" borderId="0" xfId="0" applyFont="1"/>
    <xf numFmtId="0" fontId="26" fillId="0" borderId="0" xfId="0" applyFont="1" applyAlignment="1">
      <alignment vertical="center"/>
    </xf>
    <xf numFmtId="0" fontId="20" fillId="0" borderId="0" xfId="0" applyFont="1" applyAlignment="1">
      <alignment horizontal="center" vertical="center" textRotation="68"/>
    </xf>
    <xf numFmtId="0" fontId="22" fillId="0" borderId="0" xfId="0" applyFont="1" applyAlignment="1">
      <alignment horizontal="left" vertical="center" indent="1"/>
    </xf>
    <xf numFmtId="171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66" fontId="24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2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72" fontId="29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71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indent="1"/>
    </xf>
    <xf numFmtId="169" fontId="20" fillId="0" borderId="0" xfId="0" applyNumberFormat="1" applyFont="1" applyAlignment="1">
      <alignment horizontal="center" vertical="center"/>
    </xf>
    <xf numFmtId="0" fontId="32" fillId="0" borderId="0" xfId="6" applyFont="1" applyFill="1" applyBorder="1"/>
    <xf numFmtId="0" fontId="30" fillId="0" borderId="0" xfId="0" applyFont="1" applyBorder="1" applyAlignment="1">
      <alignment horizontal="left" vertical="center"/>
    </xf>
    <xf numFmtId="171" fontId="33" fillId="0" borderId="0" xfId="0" applyNumberFormat="1" applyFont="1" applyFill="1" applyBorder="1" applyAlignment="1">
      <alignment vertical="center"/>
    </xf>
    <xf numFmtId="171" fontId="34" fillId="0" borderId="0" xfId="0" applyNumberFormat="1" applyFont="1" applyFill="1" applyBorder="1" applyAlignment="1">
      <alignment vertical="center"/>
    </xf>
    <xf numFmtId="171" fontId="31" fillId="0" borderId="0" xfId="0" applyNumberFormat="1" applyFont="1" applyFill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22" fillId="2" borderId="11" xfId="0" applyFont="1" applyFill="1" applyBorder="1" applyAlignment="1">
      <alignment horizontal="left" vertical="center" indent="1"/>
    </xf>
    <xf numFmtId="171" fontId="22" fillId="2" borderId="11" xfId="0" applyNumberFormat="1" applyFont="1" applyFill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171" fontId="34" fillId="0" borderId="16" xfId="0" applyNumberFormat="1" applyFont="1" applyFill="1" applyBorder="1" applyAlignment="1">
      <alignment vertical="center"/>
    </xf>
    <xf numFmtId="171" fontId="31" fillId="0" borderId="16" xfId="0" applyNumberFormat="1" applyFont="1" applyFill="1" applyBorder="1" applyAlignment="1">
      <alignment vertical="center"/>
    </xf>
    <xf numFmtId="171" fontId="31" fillId="0" borderId="17" xfId="0" applyNumberFormat="1" applyFont="1" applyFill="1" applyBorder="1" applyAlignment="1">
      <alignment vertical="center"/>
    </xf>
    <xf numFmtId="171" fontId="33" fillId="0" borderId="15" xfId="0" applyNumberFormat="1" applyFont="1" applyFill="1" applyBorder="1" applyAlignment="1">
      <alignment horizontal="center" vertical="center"/>
    </xf>
    <xf numFmtId="171" fontId="33" fillId="0" borderId="12" xfId="0" applyNumberFormat="1" applyFont="1" applyFill="1" applyBorder="1" applyAlignment="1">
      <alignment horizontal="center" vertical="center"/>
    </xf>
    <xf numFmtId="171" fontId="33" fillId="0" borderId="13" xfId="0" applyNumberFormat="1" applyFont="1" applyFill="1" applyBorder="1" applyAlignment="1">
      <alignment horizontal="center" vertical="center"/>
    </xf>
    <xf numFmtId="171" fontId="33" fillId="0" borderId="16" xfId="0" applyNumberFormat="1" applyFont="1" applyFill="1" applyBorder="1" applyAlignment="1">
      <alignment horizontal="center" vertical="center"/>
    </xf>
  </cellXfs>
  <cellStyles count="47">
    <cellStyle name="20% - Énfasis1" xfId="24" builtinId="30" customBuiltin="1"/>
    <cellStyle name="20% - Énfasis2" xfId="28" builtinId="34" customBuiltin="1"/>
    <cellStyle name="20% - Énfasis3" xfId="32" builtinId="38" customBuiltin="1"/>
    <cellStyle name="20% - Énfasis4" xfId="36" builtinId="42" customBuiltin="1"/>
    <cellStyle name="20% - Énfasis5" xfId="40" builtinId="46" customBuiltin="1"/>
    <cellStyle name="20% - Énfasis6" xfId="44" builtinId="50" customBuiltin="1"/>
    <cellStyle name="40% - Énfasis1" xfId="25" builtinId="31" customBuiltin="1"/>
    <cellStyle name="40% - Énfasis2" xfId="29" builtinId="35" customBuiltin="1"/>
    <cellStyle name="40% - Énfasis3" xfId="33" builtinId="39" customBuiltin="1"/>
    <cellStyle name="40% - Énfasis4" xfId="37" builtinId="43" customBuiltin="1"/>
    <cellStyle name="40% - Énfasis5" xfId="41" builtinId="47" customBuiltin="1"/>
    <cellStyle name="40% - Énfasis6" xfId="45" builtinId="51" customBuiltin="1"/>
    <cellStyle name="60% - Énfasis1" xfId="26" builtinId="32" customBuiltin="1"/>
    <cellStyle name="60% - Énfasis2" xfId="30" builtinId="36" customBuiltin="1"/>
    <cellStyle name="60% - Énfasis3" xfId="34" builtinId="40" customBuiltin="1"/>
    <cellStyle name="60% - Énfasis4" xfId="38" builtinId="44" customBuiltin="1"/>
    <cellStyle name="60% - Énfasis5" xfId="42" builtinId="48" customBuiltin="1"/>
    <cellStyle name="60% - Énfasis6" xfId="46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3" builtinId="29" customBuiltin="1"/>
    <cellStyle name="Énfasis2" xfId="27" builtinId="33" customBuiltin="1"/>
    <cellStyle name="Énfasis3" xfId="31" builtinId="37" customBuiltin="1"/>
    <cellStyle name="Énfasis4" xfId="35" builtinId="41" customBuiltin="1"/>
    <cellStyle name="Énfasis5" xfId="39" builtinId="45" customBuiltin="1"/>
    <cellStyle name="Énfasis6" xfId="43" builtinId="49" customBuiltin="1"/>
    <cellStyle name="Entrada" xfId="14" builtinId="20" customBuiltin="1"/>
    <cellStyle name="Incorrecto" xfId="12" builtinId="27" customBuiltin="1"/>
    <cellStyle name="Millares" xfId="1" builtinId="3" customBuiltin="1"/>
    <cellStyle name="Millares [0]" xfId="2" builtinId="6" customBuiltin="1"/>
    <cellStyle name="Moneda" xfId="3" builtinId="4" customBuiltin="1"/>
    <cellStyle name="Moneda [0]" xfId="4" builtinId="7" customBuiltin="1"/>
    <cellStyle name="Neutral" xfId="13" builtinId="28" customBuiltin="1"/>
    <cellStyle name="Normal" xfId="0" builtinId="0" customBuiltin="1"/>
    <cellStyle name="Notas" xfId="20" builtinId="10" customBuiltin="1"/>
    <cellStyle name="Porcentaje" xfId="5" builtinId="5" customBuiltin="1"/>
    <cellStyle name="Salida" xfId="15" builtinId="21" customBuiltin="1"/>
    <cellStyle name="Texto de advertencia" xfId="19" builtinId="11" customBuiltin="1"/>
    <cellStyle name="Texto explicativo" xfId="21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2" builtinId="25" customBuiltin="1"/>
  </cellStyles>
  <dxfs count="12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2" formatCode="#,##0.00\ &quot;€&quot;;[Red]#,##0.0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alignment horizontal="left" vertical="center" textRotation="0" wrapText="0" indent="1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strike val="0"/>
        <outline val="0"/>
        <shadow val="0"/>
        <u val="none"/>
        <vertAlign val="baseline"/>
        <color theme="3" tint="-0.499984740745262"/>
        <name val="Abadi Extra Light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2" formatCode="#,##0.00\ &quot;€&quot;;[Red]#,##0.0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border diagonalUp="0" diagonalDown="0" outline="0">
        <left style="thin">
          <color theme="3"/>
        </left>
        <right style="thin">
          <color theme="3"/>
        </right>
        <top/>
        <bottom/>
      </border>
    </dxf>
    <dxf>
      <font>
        <strike val="0"/>
        <outline val="0"/>
        <shadow val="0"/>
        <u val="none"/>
        <vertAlign val="baseline"/>
        <color theme="3" tint="-0.499984740745262"/>
        <name val="Abadi Extra Light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border diagonalUp="0" diagonalDown="0" outline="0">
        <left style="thin">
          <color theme="3"/>
        </left>
        <right style="thin">
          <color theme="3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2" formatCode="#,##0.00\ &quot;€&quot;;[Red]#,##0.0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alignment horizontal="left" vertical="center" textRotation="0" wrapText="0" indent="1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strike val="0"/>
        <outline val="0"/>
        <shadow val="0"/>
        <u val="none"/>
        <vertAlign val="baseline"/>
        <color theme="3" tint="-0.499984740745262"/>
        <name val="Abadi Extra Light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2" formatCode="#,##0.00\ &quot;€&quot;;[Red]#,##0.0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alignment horizontal="left" vertical="center" textRotation="0" wrapText="0" indent="1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strike val="0"/>
        <outline val="0"/>
        <shadow val="0"/>
        <u val="none"/>
        <vertAlign val="baseline"/>
        <color theme="3" tint="-0.499984740745262"/>
        <name val="Abadi Extra Light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border>
        <top style="thin">
          <color theme="3"/>
        </top>
      </border>
    </dxf>
    <dxf>
      <border>
        <bottom style="thin">
          <color theme="3"/>
        </bottom>
      </border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fill>
        <patternFill patternType="solid">
          <fgColor indexed="64"/>
          <bgColor theme="3" tint="0.39997558519241921"/>
        </patternFill>
      </fill>
      <border diagonalUp="0" diagonalDown="0" outline="0">
        <left style="thin">
          <color theme="3"/>
        </left>
        <right style="thin">
          <color theme="3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fill>
        <patternFill patternType="solid">
          <fgColor indexed="64"/>
          <bgColor theme="3" tint="0.39997558519241921"/>
        </patternFill>
      </fill>
      <border diagonalUp="0" diagonalDown="0" outline="0">
        <left style="thin">
          <color theme="3"/>
        </left>
        <right style="thin">
          <color theme="3"/>
        </right>
        <top/>
        <bottom/>
      </border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strike val="0"/>
        <outline val="0"/>
        <shadow val="0"/>
        <u val="none"/>
        <vertAlign val="baseline"/>
        <color theme="3" tint="-0.499984740745262"/>
        <name val="Abadi Extra Light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2" formatCode="#,##0.00\ &quot;€&quot;;[Red]#,##0.0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3" tint="-0.499984740745262"/>
        <name val="Abadi Extra Light"/>
        <family val="2"/>
        <scheme val="none"/>
      </font>
      <numFmt numFmtId="166" formatCode="#,##0.00\ &quot;€&quot;;[Red]\-#,##0.0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strike val="0"/>
        <outline val="0"/>
        <shadow val="0"/>
        <u val="none"/>
        <vertAlign val="baseline"/>
        <color theme="3" tint="-0.499984740745262"/>
        <name val="Abadi Extra Light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2" formatCode="#,##0.00\ &quot;€&quot;;[Red]#,##0.0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3" tint="-0.499984740745262"/>
        <name val="Abadi Extra Light"/>
        <family val="2"/>
        <scheme val="none"/>
      </font>
      <numFmt numFmtId="166" formatCode="#,##0.00\ &quot;€&quot;;[Red]\-#,##0.0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strike val="0"/>
        <outline val="0"/>
        <shadow val="0"/>
        <u val="none"/>
        <vertAlign val="baseline"/>
        <color theme="3" tint="-0.499984740745262"/>
        <name val="Abadi Extra Light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2" formatCode="#,##0.00\ &quot;€&quot;;[Red]#,##0.0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3" tint="-0.499984740745262"/>
        <name val="Abadi Extra Light"/>
        <family val="2"/>
        <scheme val="none"/>
      </font>
      <numFmt numFmtId="166" formatCode="#,##0.00\ &quot;€&quot;;[Red]\-#,##0.0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strike val="0"/>
        <outline val="0"/>
        <shadow val="0"/>
        <u val="none"/>
        <vertAlign val="baseline"/>
        <color theme="3" tint="-0.499984740745262"/>
        <name val="Abadi Extra Light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2" formatCode="#,##0.00\ &quot;€&quot;;[Red]#,##0.0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3" tint="-0.499984740745262"/>
        <name val="Abadi Extra Light"/>
        <family val="2"/>
        <scheme val="none"/>
      </font>
      <numFmt numFmtId="166" formatCode="#,##0.00\ &quot;€&quot;;[Red]\-#,##0.0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strike val="0"/>
        <outline val="0"/>
        <shadow val="0"/>
        <u val="none"/>
        <vertAlign val="baseline"/>
        <color theme="3" tint="-0.499984740745262"/>
        <name val="Abadi Extra Light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2" formatCode="#,##0.00\ &quot;€&quot;;[Red]#,##0.0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3" tint="-0.499984740745262"/>
        <name val="Abadi Extra Light"/>
        <family val="2"/>
        <scheme val="none"/>
      </font>
      <numFmt numFmtId="166" formatCode="#,##0.00\ &quot;€&quot;;[Red]\-#,##0.0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strike val="0"/>
        <outline val="0"/>
        <shadow val="0"/>
        <u val="none"/>
        <vertAlign val="baseline"/>
        <color theme="3" tint="-0.499984740745262"/>
        <name val="Abadi Extra Light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2" formatCode="#,##0.00\ &quot;€&quot;;[Red]#,##0.0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3" tint="-0.499984740745262"/>
        <name val="Abadi Extra Light"/>
        <family val="2"/>
        <scheme val="none"/>
      </font>
      <numFmt numFmtId="166" formatCode="#,##0.00\ &quot;€&quot;;[Red]\-#,##0.0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numFmt numFmtId="171" formatCode="#,##0.0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Abadi Extra Light"/>
        <family val="2"/>
        <scheme val="none"/>
      </font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5117038483843"/>
          <bgColor theme="8"/>
        </patternFill>
      </fill>
    </dxf>
    <dxf>
      <font>
        <b/>
        <color theme="6" tint="-0.249977111117893"/>
      </font>
    </dxf>
    <dxf>
      <font>
        <b/>
        <color theme="6" tint="-0.249977111117893"/>
      </font>
    </dxf>
    <dxf>
      <font>
        <b val="0"/>
        <i val="0"/>
        <color theme="6" tint="-0.249977111117893"/>
      </font>
      <fill>
        <patternFill patternType="none">
          <bgColor auto="1"/>
        </patternFill>
      </fill>
      <border>
        <top style="thin">
          <color theme="8" tint="-9.9948118533890809E-2"/>
        </top>
        <bottom/>
      </border>
    </dxf>
    <dxf>
      <font>
        <b val="0"/>
        <i val="0"/>
        <color theme="6" tint="-0.249977111117893"/>
      </font>
      <fill>
        <patternFill>
          <bgColor theme="4"/>
        </patternFill>
      </fill>
      <border>
        <top style="thick">
          <color theme="4"/>
        </top>
        <bottom style="thin">
          <color theme="4"/>
        </bottom>
      </border>
    </dxf>
    <dxf>
      <font>
        <color theme="6" tint="-0.249977111117893"/>
      </font>
      <border diagonalUp="0" diagonalDown="0">
        <left/>
        <right/>
        <top/>
        <bottom/>
        <vertical/>
        <horizontal/>
      </border>
    </dxf>
    <dxf>
      <fill>
        <patternFill patternType="none">
          <bgColor auto="1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border>
        <left style="thin">
          <color theme="3" tint="0.39994506668294322"/>
        </left>
        <right style="thin">
          <color theme="3" tint="0.39994506668294322"/>
        </right>
        <top style="thin">
          <color theme="3" tint="0.39994506668294322"/>
        </top>
        <bottom style="thin">
          <color theme="3" tint="0.39994506668294322"/>
        </bottom>
        <vertical style="thin">
          <color theme="3" tint="0.39994506668294322"/>
        </vertical>
        <horizontal style="thin">
          <color theme="3" tint="0.39994506668294322"/>
        </horizontal>
      </border>
    </dxf>
    <dxf>
      <border>
        <left style="thin">
          <color theme="3" tint="0.39994506668294322"/>
        </left>
        <right style="thin">
          <color theme="3" tint="0.39994506668294322"/>
        </right>
        <top style="thin">
          <color theme="3" tint="0.39994506668294322"/>
        </top>
        <bottom style="thin">
          <color theme="3" tint="0.39994506668294322"/>
        </bottom>
        <vertical style="thin">
          <color theme="3" tint="0.39994506668294322"/>
        </vertical>
        <horizontal style="thin">
          <color theme="3" tint="0.39994506668294322"/>
        </horizontal>
      </border>
    </dxf>
    <dxf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/>
        </patternFill>
      </fill>
    </dxf>
    <dxf>
      <fill>
        <patternFill>
          <bgColor theme="5"/>
        </patternFill>
      </fill>
    </dxf>
    <dxf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fill>
        <patternFill>
          <bgColor theme="3"/>
        </pattern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fill>
        <patternFill>
          <bgColor theme="5"/>
        </patternFill>
      </fill>
    </dxf>
  </dxfs>
  <tableStyles count="6" defaultTableStyle="Excelfull" defaultPivotStyle="PivotStyleLight16">
    <tableStyle name="Estilo de tabla 1" pivot="0" count="2" xr9:uid="{3E68996B-CBA3-9440-8B40-380F6AE6A524}">
      <tableStyleElement type="headerRow" dxfId="120"/>
      <tableStyleElement type="totalRow" dxfId="119"/>
    </tableStyle>
    <tableStyle name="Estilo de tabla 2" pivot="0" count="3" xr9:uid="{97B1F207-7AF4-7F43-B9AA-798E5EB9514A}">
      <tableStyleElement type="wholeTable" dxfId="118"/>
      <tableStyleElement type="headerRow" dxfId="117"/>
      <tableStyleElement type="totalRow" dxfId="116"/>
    </tableStyle>
    <tableStyle name="Estilo de tabla 3" pivot="0" count="4" xr9:uid="{7C3D2DDB-5BDD-F547-B2B3-61722682222E}">
      <tableStyleElement type="headerRow" dxfId="115"/>
      <tableStyleElement type="totalRow" dxfId="114"/>
      <tableStyleElement type="firstRowStripe" dxfId="113"/>
      <tableStyleElement type="secondRowStripe" dxfId="112"/>
    </tableStyle>
    <tableStyle name="Estilo de tabla 4" pivot="0" count="4" xr9:uid="{E7043985-2C79-8647-95C9-253177091258}">
      <tableStyleElement type="wholeTable" dxfId="111"/>
      <tableStyleElement type="headerRow" dxfId="110"/>
      <tableStyleElement type="totalRow" dxfId="109"/>
      <tableStyleElement type="firstColumn" dxfId="108"/>
    </tableStyle>
    <tableStyle name="Excelfull" pivot="0" count="2" xr9:uid="{F159A54C-DD75-4413-8243-52B76167F083}">
      <tableStyleElement type="headerRow" dxfId="33"/>
      <tableStyleElement type="totalRow" dxfId="34"/>
    </tableStyle>
    <tableStyle name="TableStyleLight4 2" pivot="0" count="7" xr9:uid="{00000000-0011-0000-FFFF-FFFF00000000}">
      <tableStyleElement type="wholeTable" dxfId="107"/>
      <tableStyleElement type="headerRow" dxfId="106"/>
      <tableStyleElement type="totalRow" dxfId="105"/>
      <tableStyleElement type="firstColumn" dxfId="104"/>
      <tableStyleElement type="lastColumn" dxfId="103"/>
      <tableStyleElement type="firstRowStripe" dxfId="102"/>
      <tableStyleElement type="firstColumnStripe" dxfId="10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EAEAE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C37D8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36E42"/>
      <color rgb="FFFFFFFF"/>
      <color rgb="FFFFF4D1"/>
      <color rgb="FFFFF9E7"/>
      <color rgb="FF75BDA7"/>
      <color rgb="FFC5AC84"/>
      <color rgb="FF3034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985639588173211"/>
          <c:y val="3.2751669624672269E-2"/>
          <c:w val="0.76203249177744936"/>
          <c:h val="0.9559322175569008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'Presupuesto para boda'!$D$4</c:f>
              <c:strCache>
                <c:ptCount val="1"/>
                <c:pt idx="0">
                  <c:v>REAL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FA1B-414C-A648-94B3133E853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A1B-414C-A648-94B3133E853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A1B-414C-A648-94B3133E853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A1B-414C-A648-94B3133E853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FA1B-414C-A648-94B3133E853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A1B-414C-A648-94B3133E853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FA1B-414C-A648-94B3133E853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A1B-414C-A648-94B3133E853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FA1B-414C-A648-94B3133E853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FA1B-414C-A648-94B3133E8533}"/>
              </c:ext>
            </c:extLst>
          </c:dPt>
          <c:cat>
            <c:strRef>
              <c:f>'Presupuesto para boda'!$B$5:$B$14</c:f>
              <c:strCache>
                <c:ptCount val="10"/>
                <c:pt idx="0">
                  <c:v>Recepción</c:v>
                </c:pt>
                <c:pt idx="1">
                  <c:v>Ropa</c:v>
                </c:pt>
                <c:pt idx="2">
                  <c:v>Fotografía</c:v>
                </c:pt>
                <c:pt idx="3">
                  <c:v>Decoración</c:v>
                </c:pt>
                <c:pt idx="4">
                  <c:v>Transporte</c:v>
                </c:pt>
                <c:pt idx="5">
                  <c:v>Regalos</c:v>
                </c:pt>
                <c:pt idx="6">
                  <c:v>Música</c:v>
                </c:pt>
                <c:pt idx="7">
                  <c:v>Flores</c:v>
                </c:pt>
                <c:pt idx="8">
                  <c:v>Impresión o papelería</c:v>
                </c:pt>
                <c:pt idx="9">
                  <c:v>Otros gastos</c:v>
                </c:pt>
              </c:strCache>
            </c:strRef>
          </c:cat>
          <c:val>
            <c:numRef>
              <c:f>'Presupuesto para boda'!$D$5:$D$14</c:f>
              <c:numCache>
                <c:formatCode>#,##0.00\ "€"</c:formatCode>
                <c:ptCount val="10"/>
                <c:pt idx="0">
                  <c:v>5300</c:v>
                </c:pt>
                <c:pt idx="1">
                  <c:v>5000</c:v>
                </c:pt>
                <c:pt idx="2">
                  <c:v>2950</c:v>
                </c:pt>
                <c:pt idx="3">
                  <c:v>2300</c:v>
                </c:pt>
                <c:pt idx="4">
                  <c:v>1400</c:v>
                </c:pt>
                <c:pt idx="5">
                  <c:v>1300</c:v>
                </c:pt>
                <c:pt idx="6">
                  <c:v>1250</c:v>
                </c:pt>
                <c:pt idx="7">
                  <c:v>800</c:v>
                </c:pt>
                <c:pt idx="8">
                  <c:v>400</c:v>
                </c:pt>
                <c:pt idx="9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F9-4AD2-931B-79DD782E1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62963168"/>
        <c:axId val="462958904"/>
      </c:barChart>
      <c:catAx>
        <c:axId val="4629631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462958904"/>
        <c:crosses val="autoZero"/>
        <c:auto val="1"/>
        <c:lblAlgn val="ctr"/>
        <c:lblOffset val="100"/>
        <c:noMultiLvlLbl val="0"/>
      </c:catAx>
      <c:valAx>
        <c:axId val="462958904"/>
        <c:scaling>
          <c:orientation val="minMax"/>
        </c:scaling>
        <c:delete val="1"/>
        <c:axPos val="t"/>
        <c:numFmt formatCode="#,##0.00\ &quot;€&quot;" sourceLinked="1"/>
        <c:majorTickMark val="none"/>
        <c:minorTickMark val="none"/>
        <c:tickLblPos val="nextTo"/>
        <c:crossAx val="462963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+mn-lt"/>
        </a:defRPr>
      </a:pPr>
      <a:endParaRPr lang="es-PY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314738</xdr:colOff>
      <xdr:row>4</xdr:row>
      <xdr:rowOff>33131</xdr:rowOff>
    </xdr:from>
    <xdr:to>
      <xdr:col>9</xdr:col>
      <xdr:colOff>1018760</xdr:colOff>
      <xdr:row>15</xdr:row>
      <xdr:rowOff>0</xdr:rowOff>
    </xdr:to>
    <xdr:graphicFrame macro="">
      <xdr:nvGraphicFramePr>
        <xdr:cNvPr id="3" name="Gráfica 2" descr="Gráfico que resume los gastos reales organizados en orden descendent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106681</xdr:colOff>
      <xdr:row>0</xdr:row>
      <xdr:rowOff>68580</xdr:rowOff>
    </xdr:from>
    <xdr:to>
      <xdr:col>9</xdr:col>
      <xdr:colOff>15240</xdr:colOff>
      <xdr:row>1</xdr:row>
      <xdr:rowOff>681601</xdr:rowOff>
    </xdr:to>
    <xdr:pic>
      <xdr:nvPicPr>
        <xdr:cNvPr id="6" name="Imagen 5" descr="Decoración de diseño: flores flotantes">
          <a:extLst>
            <a:ext uri="{FF2B5EF4-FFF2-40B4-BE49-F238E27FC236}">
              <a16:creationId xmlns:a16="http://schemas.microsoft.com/office/drawing/2014/main" id="{96E8E482-C824-1A8B-E72C-82D0C6F8C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45981" y="68580"/>
          <a:ext cx="2011679" cy="84924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_Summary" displayName="TBL_Summary" ref="B4:E15" totalsRowCount="1" headerRowDxfId="32" dataDxfId="31" totalsRowDxfId="30" headerRowBorderDxfId="29" totalsRowBorderDxfId="28">
  <tableColumns count="4">
    <tableColumn id="1" xr3:uid="{00000000-0010-0000-0000-000001000000}" name="RESUMEN" totalsRowLabel="Presupuesto total"/>
    <tableColumn id="2" xr3:uid="{00000000-0010-0000-0000-000002000000}" name="ESTIMADO" totalsRowFunction="sum"/>
    <tableColumn id="3" xr3:uid="{00000000-0010-0000-0000-000003000000}" name="REAL" totalsRowFunction="sum"/>
    <tableColumn id="4" xr3:uid="{00000000-0010-0000-0000-000004000000}" name="DIFERENCIA" totalsRowFunction="count">
      <calculatedColumnFormula>TBL_Summary[[#This Row],[ESTIMADO]]-TBL_Summary[[#This Row],[REAL]]</calculatedColumnFormula>
    </tableColumn>
  </tableColumns>
  <tableStyleInfo name="Estilo de tabla 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_Apparel" displayName="TBL_Apparel" ref="B19:E28" totalsRowCount="1" headerRowDxfId="13" dataDxfId="12" totalsRowDxfId="11">
  <tableColumns count="4">
    <tableColumn id="1" xr3:uid="{00000000-0010-0000-0100-000001000000}" name="ROPA" totalsRowLabel="Total ropa" totalsRowDxfId="10"/>
    <tableColumn id="2" xr3:uid="{00000000-0010-0000-0100-000002000000}" name="ESTIMADO" totalsRowFunction="sum" totalsRowDxfId="9"/>
    <tableColumn id="3" xr3:uid="{00000000-0010-0000-0100-000003000000}" name="REAL" totalsRowFunction="sum" totalsRowDxfId="8"/>
    <tableColumn id="4" xr3:uid="{00000000-0010-0000-0100-000004000000}" name="DIFERENCIA" totalsRowFunction="sum" totalsRowDxfId="7">
      <calculatedColumnFormula>TBL_Apparel[[#This Row],[ESTIMADO]]-TBL_Apparel[[#This Row],[REAL]]</calculatedColumnFormula>
    </tableColumn>
  </tableColumns>
  <tableStyleInfo name="Estilo de tabla 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_Gifts" displayName="TBL_Gifts" ref="B31:E36" totalsRowCount="1" headerRowDxfId="27" dataDxfId="26" totalsRowDxfId="25">
  <tableColumns count="4">
    <tableColumn id="1" xr3:uid="{00000000-0010-0000-0200-000001000000}" name="REGALOS" totalsRowLabel="Total regalos" totalsRowDxfId="24"/>
    <tableColumn id="2" xr3:uid="{00000000-0010-0000-0200-000002000000}" name="ESTIMADO" totalsRowFunction="sum" totalsRowDxfId="23"/>
    <tableColumn id="3" xr3:uid="{00000000-0010-0000-0200-000003000000}" name="REAL" totalsRowFunction="sum" totalsRowDxfId="22"/>
    <tableColumn id="4" xr3:uid="{00000000-0010-0000-0200-000004000000}" name="DIFERENCIA" totalsRowFunction="min" totalsRowDxfId="21">
      <calculatedColumnFormula>TBL_Gifts[[#This Row],[ESTIMADO]]-TBL_Gifts[[#This Row],[REAL]]</calculatedColumnFormula>
    </tableColumn>
  </tableColumns>
  <tableStyleInfo name="Estilo de tabla 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_Music" displayName="TBL_Music" ref="B39:E43" totalsRowCount="1" headerRowDxfId="92" dataDxfId="90" totalsRowDxfId="91">
  <tableColumns count="4">
    <tableColumn id="1" xr3:uid="{00000000-0010-0000-0300-000001000000}" name="MÚSICA " totalsRowLabel="Total música" dataDxfId="100" totalsRowDxfId="99"/>
    <tableColumn id="2" xr3:uid="{00000000-0010-0000-0300-000002000000}" name="ESTIMADO" totalsRowFunction="sum" dataDxfId="98" totalsRowDxfId="97"/>
    <tableColumn id="3" xr3:uid="{00000000-0010-0000-0300-000003000000}" name="REAL" totalsRowFunction="sum" dataDxfId="96" totalsRowDxfId="95"/>
    <tableColumn id="4" xr3:uid="{00000000-0010-0000-0300-000004000000}" name="DIFERENCIA" totalsRowFunction="sum" dataDxfId="94" totalsRowDxfId="93">
      <calculatedColumnFormula>TBL_Music[[#This Row],[ESTIMADO]]-TBL_Music[[#This Row],[REAL]]</calculatedColumnFormula>
    </tableColumn>
  </tableColumns>
  <tableStyleInfo name="Estilo de tabla 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BL_Reception" displayName="TBL_Reception" ref="B46:E56" totalsRowCount="1" headerRowDxfId="81" dataDxfId="79" totalsRowDxfId="80">
  <tableColumns count="4">
    <tableColumn id="1" xr3:uid="{00000000-0010-0000-0400-000001000000}" name="RECEPCIÓN" totalsRowLabel="Total recepción" dataDxfId="89" totalsRowDxfId="88"/>
    <tableColumn id="2" xr3:uid="{00000000-0010-0000-0400-000002000000}" name="ESTIMADO" totalsRowFunction="sum" dataDxfId="87" totalsRowDxfId="86"/>
    <tableColumn id="3" xr3:uid="{00000000-0010-0000-0400-000003000000}" name="REAL" totalsRowFunction="sum" dataDxfId="85" totalsRowDxfId="84"/>
    <tableColumn id="4" xr3:uid="{00000000-0010-0000-0400-000004000000}" name="DIFERENCIA" totalsRowFunction="sum" dataDxfId="83" totalsRowDxfId="82">
      <calculatedColumnFormula>TBL_Reception[[#This Row],[ESTIMADO]]-TBL_Reception[[#This Row],[REAL]]</calculatedColumnFormula>
    </tableColumn>
  </tableColumns>
  <tableStyleInfo name="Estilo de tabla 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BL_OtherExpenses" displayName="TBL_OtherExpenses" ref="B59:E68" totalsRowCount="1" headerRowDxfId="70" dataDxfId="68" totalsRowDxfId="69">
  <tableColumns count="4">
    <tableColumn id="1" xr3:uid="{00000000-0010-0000-0500-000001000000}" name="OTROS GASTOS" totalsRowLabel="Total otros gastos" dataDxfId="78" totalsRowDxfId="77"/>
    <tableColumn id="2" xr3:uid="{00000000-0010-0000-0500-000002000000}" name="ESTIMADO" totalsRowFunction="sum" dataDxfId="76" totalsRowDxfId="75"/>
    <tableColumn id="3" xr3:uid="{00000000-0010-0000-0500-000003000000}" name="REAL" totalsRowFunction="sum" dataDxfId="74" totalsRowDxfId="73"/>
    <tableColumn id="4" xr3:uid="{00000000-0010-0000-0500-000004000000}" name="DIFERENCIA" totalsRowFunction="sum" dataDxfId="72" totalsRowDxfId="71">
      <calculatedColumnFormula>TBL_OtherExpenses[[#This Row],[ESTIMADO]]-TBL_OtherExpenses[[#This Row],[REAL]]</calculatedColumnFormula>
    </tableColumn>
  </tableColumns>
  <tableStyleInfo name="Estilo de tabla 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BL_Decorations" displayName="TBL_Decorations" ref="G19:J26" totalsRowCount="1" headerRowDxfId="6" dataDxfId="5" totalsRowDxfId="4">
  <tableColumns count="4">
    <tableColumn id="1" xr3:uid="{00000000-0010-0000-0600-000001000000}" name="DECORACIONES" totalsRowLabel="Total adornos" totalsRowDxfId="3"/>
    <tableColumn id="2" xr3:uid="{00000000-0010-0000-0600-000002000000}" name="ESTIMADO" totalsRowFunction="sum" totalsRowDxfId="2"/>
    <tableColumn id="3" xr3:uid="{00000000-0010-0000-0600-000003000000}" name="REAL" totalsRowFunction="sum" totalsRowDxfId="1"/>
    <tableColumn id="4" xr3:uid="{00000000-0010-0000-0600-000004000000}" name="DIFERENCIA" totalsRowFunction="sum" totalsRowDxfId="0">
      <calculatedColumnFormula>TBL_Decorations[[#This Row],[ESTIMADO]]-TBL_Decorations[[#This Row],[REAL]]</calculatedColumnFormula>
    </tableColumn>
  </tableColumns>
  <tableStyleInfo name="Estilo de tabla 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BL_Flowers" displayName="TBL_Flowers" ref="G29:J36" totalsRowCount="1" headerRowDxfId="20" dataDxfId="19" totalsRowDxfId="18">
  <tableColumns count="4">
    <tableColumn id="1" xr3:uid="{00000000-0010-0000-0700-000001000000}" name="FLORES" totalsRowLabel="Total flores" totalsRowDxfId="17"/>
    <tableColumn id="2" xr3:uid="{00000000-0010-0000-0700-000002000000}" name="ESTIMADO" totalsRowFunction="sum" totalsRowDxfId="16"/>
    <tableColumn id="3" xr3:uid="{00000000-0010-0000-0700-000003000000}" name="REAL" totalsRowFunction="sum" totalsRowDxfId="15"/>
    <tableColumn id="4" xr3:uid="{00000000-0010-0000-0700-000004000000}" name="DIFERENCIA" totalsRowFunction="sum" totalsRowDxfId="14">
      <calculatedColumnFormula>TBL_Flowers[[#This Row],[ESTIMADO]]-TBL_Flowers[[#This Row],[REAL]]</calculatedColumnFormula>
    </tableColumn>
  </tableColumns>
  <tableStyleInfo name="Estilo de tabla 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BL_Photography" displayName="TBL_Photography" ref="G39:J46" totalsRowCount="1" headerRowDxfId="59" dataDxfId="57" totalsRowDxfId="58">
  <tableColumns count="4">
    <tableColumn id="1" xr3:uid="{00000000-0010-0000-0800-000001000000}" name="FOTOGRAFÍA" totalsRowLabel="Total fotografía" dataDxfId="67" totalsRowDxfId="66"/>
    <tableColumn id="2" xr3:uid="{00000000-0010-0000-0800-000002000000}" name="ESTIMADO" totalsRowFunction="sum" dataDxfId="65" totalsRowDxfId="64"/>
    <tableColumn id="3" xr3:uid="{00000000-0010-0000-0800-000003000000}" name="REAL" totalsRowFunction="sum" dataDxfId="63" totalsRowDxfId="62"/>
    <tableColumn id="4" xr3:uid="{00000000-0010-0000-0800-000004000000}" name="DIFERENCIA" totalsRowFunction="sum" dataDxfId="61" totalsRowDxfId="60">
      <calculatedColumnFormula>TBL_Photography[[#This Row],[ESTIMADO]]-TBL_Photography[[#This Row],[REAL]]</calculatedColumnFormula>
    </tableColumn>
  </tableColumns>
  <tableStyleInfo name="Estilo de tabla 4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BL_Stationery" displayName="TBL_Stationery" ref="G49:J60" totalsRowCount="1" headerRowDxfId="48" dataDxfId="46" totalsRowDxfId="47">
  <tableColumns count="4">
    <tableColumn id="1" xr3:uid="{00000000-0010-0000-0900-000001000000}" name="IMPRESIÓN Y PAPELERÍA" totalsRowLabel="Total de impresión o papelería" dataDxfId="56" totalsRowDxfId="55"/>
    <tableColumn id="2" xr3:uid="{00000000-0010-0000-0900-000002000000}" name="ESTIMADO" totalsRowFunction="sum" dataDxfId="54" totalsRowDxfId="53"/>
    <tableColumn id="3" xr3:uid="{00000000-0010-0000-0900-000003000000}" name="REAL" totalsRowFunction="sum" dataDxfId="52" totalsRowDxfId="51"/>
    <tableColumn id="4" xr3:uid="{00000000-0010-0000-0900-000004000000}" name="DIFERENCIA" totalsRowFunction="sum" dataDxfId="50" totalsRowDxfId="49">
      <calculatedColumnFormula>TBL_Stationery[[#This Row],[ESTIMADO]]-TBL_Stationery[[#This Row],[REAL]]</calculatedColumnFormula>
    </tableColumn>
  </tableColumns>
  <tableStyleInfo name="Estilo de tabla 4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BL_Transportation" displayName="TBL_Transportation" ref="G63:J68" totalsRowCount="1" headerRowDxfId="37" dataDxfId="35" totalsRowDxfId="36">
  <tableColumns count="4">
    <tableColumn id="1" xr3:uid="{00000000-0010-0000-0A00-000001000000}" name="TRANSPORTE" totalsRowLabel="Total transporte" dataDxfId="45" totalsRowDxfId="44"/>
    <tableColumn id="2" xr3:uid="{00000000-0010-0000-0A00-000002000000}" name="ESTIMADO" totalsRowFunction="sum" dataDxfId="43" totalsRowDxfId="42"/>
    <tableColumn id="3" xr3:uid="{00000000-0010-0000-0A00-000003000000}" name="REAL" totalsRowFunction="sum" dataDxfId="41" totalsRowDxfId="40"/>
    <tableColumn id="4" xr3:uid="{00000000-0010-0000-0A00-000004000000}" name="DIFERENCIA" totalsRowFunction="sum" dataDxfId="39" totalsRowDxfId="38">
      <calculatedColumnFormula>TBL_Transportation[[#This Row],[ESTIMADO]]-TBL_Transportation[[#This Row],[REAL]]</calculatedColumnFormula>
    </tableColumn>
  </tableColumns>
  <tableStyleInfo name="Estilo de tabla 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Excelfull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36E42"/>
      </a:accent1>
      <a:accent2>
        <a:srgbClr val="ED7D31"/>
      </a:accent2>
      <a:accent3>
        <a:srgbClr val="136E42"/>
      </a:accent3>
      <a:accent4>
        <a:srgbClr val="FFC000"/>
      </a:accent4>
      <a:accent5>
        <a:srgbClr val="4472C4"/>
      </a:accent5>
      <a:accent6>
        <a:srgbClr val="136E42"/>
      </a:accent6>
      <a:hlink>
        <a:srgbClr val="0563C1"/>
      </a:hlink>
      <a:folHlink>
        <a:srgbClr val="954F72"/>
      </a:folHlink>
    </a:clrScheme>
    <a:fontScheme name="Custom 59">
      <a:majorFont>
        <a:latin typeface="Perpetu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13" Type="http://schemas.openxmlformats.org/officeDocument/2006/relationships/table" Target="../tables/table11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12" Type="http://schemas.openxmlformats.org/officeDocument/2006/relationships/table" Target="../tables/table10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5" Type="http://schemas.openxmlformats.org/officeDocument/2006/relationships/table" Target="../tables/table3.xml"/><Relationship Id="rId10" Type="http://schemas.openxmlformats.org/officeDocument/2006/relationships/table" Target="../tables/table8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102"/>
  <sheetViews>
    <sheetView showGridLines="0" tabSelected="1" zoomScaleNormal="100" workbookViewId="0">
      <selection activeCell="M17" sqref="M17"/>
    </sheetView>
  </sheetViews>
  <sheetFormatPr baseColWidth="10" defaultColWidth="9.109375" defaultRowHeight="16.2" customHeight="1" x14ac:dyDescent="0.25"/>
  <cols>
    <col min="1" max="1" width="1.6640625" style="1" customWidth="1"/>
    <col min="2" max="2" width="43.44140625" style="4" customWidth="1"/>
    <col min="3" max="4" width="15.33203125" style="34" customWidth="1"/>
    <col min="5" max="5" width="15.33203125" style="1" customWidth="1"/>
    <col min="6" max="6" width="3.109375" style="1" customWidth="1"/>
    <col min="7" max="7" width="44.109375" style="4" customWidth="1"/>
    <col min="8" max="9" width="15.33203125" style="34" customWidth="1"/>
    <col min="10" max="10" width="15.33203125" style="1" customWidth="1"/>
    <col min="11" max="11" width="1.6640625" style="1" customWidth="1"/>
    <col min="12" max="13" width="9.109375" style="1"/>
    <col min="14" max="14" width="17.6640625" style="1" customWidth="1"/>
    <col min="15" max="15" width="10.109375" style="1" customWidth="1"/>
    <col min="16" max="16" width="9.109375" style="1"/>
    <col min="17" max="17" width="9.44140625" style="1" customWidth="1"/>
    <col min="18" max="16384" width="9.109375" style="1"/>
  </cols>
  <sheetData>
    <row r="1" spans="2:18" ht="18.75" customHeight="1" x14ac:dyDescent="0.25">
      <c r="B1" s="49" t="s">
        <v>0</v>
      </c>
      <c r="C1" s="50"/>
      <c r="D1" s="50"/>
      <c r="E1" s="43"/>
      <c r="F1" s="43"/>
      <c r="G1" s="43"/>
      <c r="H1" s="43"/>
      <c r="I1" s="44"/>
      <c r="J1" s="2"/>
    </row>
    <row r="2" spans="2:18" s="36" customFormat="1" ht="54.6" customHeight="1" thickBot="1" x14ac:dyDescent="0.7">
      <c r="B2" s="48"/>
      <c r="C2" s="51"/>
      <c r="D2" s="51"/>
      <c r="E2" s="45"/>
      <c r="F2" s="45"/>
      <c r="G2" s="45"/>
      <c r="H2" s="46"/>
      <c r="I2" s="47"/>
      <c r="J2" s="35"/>
      <c r="K2" s="40"/>
    </row>
    <row r="3" spans="2:18" s="36" customFormat="1" ht="25.2" customHeight="1" x14ac:dyDescent="0.65">
      <c r="B3" s="37"/>
      <c r="C3" s="38"/>
      <c r="D3" s="38"/>
      <c r="E3" s="38"/>
      <c r="F3" s="38"/>
      <c r="G3" s="38"/>
      <c r="H3" s="39"/>
      <c r="I3" s="39"/>
      <c r="J3" s="35"/>
      <c r="K3" s="40"/>
    </row>
    <row r="4" spans="2:18" ht="25.95" customHeight="1" x14ac:dyDescent="0.25">
      <c r="B4" s="41" t="s">
        <v>1</v>
      </c>
      <c r="C4" s="42" t="s">
        <v>42</v>
      </c>
      <c r="D4" s="42" t="s">
        <v>43</v>
      </c>
      <c r="E4" s="42" t="s">
        <v>44</v>
      </c>
      <c r="G4" s="8" t="s">
        <v>45</v>
      </c>
      <c r="H4" s="3"/>
      <c r="I4" s="3"/>
      <c r="J4" s="3"/>
      <c r="M4" s="9" t="s">
        <v>83</v>
      </c>
      <c r="N4" s="9" t="s">
        <v>84</v>
      </c>
      <c r="O4" s="9" t="s">
        <v>94</v>
      </c>
      <c r="P4" s="10" t="s">
        <v>95</v>
      </c>
      <c r="Q4" s="9" t="s">
        <v>96</v>
      </c>
      <c r="R4" s="9" t="s">
        <v>97</v>
      </c>
    </row>
    <row r="5" spans="2:18" ht="25.95" customHeight="1" x14ac:dyDescent="0.25">
      <c r="B5" s="11" t="str">
        <f t="shared" ref="B5:B14" si="0">VLOOKUP($R5,$M$5:$P$14,2,FALSE)</f>
        <v>Recepción</v>
      </c>
      <c r="C5" s="12">
        <f t="shared" ref="C5:C14" si="1">VLOOKUP($R5,$M$5:$P$14,3,FALSE)</f>
        <v>5500</v>
      </c>
      <c r="D5" s="12">
        <f t="shared" ref="D5:D14" si="2">VLOOKUP($R5,$M$5:$P$14,4,FALSE)</f>
        <v>5300</v>
      </c>
      <c r="E5" s="12">
        <f>TBL_Summary[[#This Row],[REAL]]-TBL_Summary[[#This Row],[ESTIMADO]]</f>
        <v>-200</v>
      </c>
      <c r="F5" s="13"/>
      <c r="G5" s="3"/>
      <c r="H5" s="3"/>
      <c r="I5" s="3"/>
      <c r="J5" s="3"/>
      <c r="M5" s="9">
        <f t="shared" ref="M5:M14" si="3">_xlfn.RANK.EQ(Q5,$Q$5:$Q$14)</f>
        <v>2</v>
      </c>
      <c r="N5" s="14" t="s">
        <v>85</v>
      </c>
      <c r="O5" s="15">
        <f>TBL_Apparel[[#Totals],[ESTIMADO]]</f>
        <v>5000</v>
      </c>
      <c r="P5" s="15">
        <f>TBL_Apparel[[#Totals],[REAL]]</f>
        <v>5000</v>
      </c>
      <c r="Q5" s="16">
        <f>P5+ROW(P5)/10000</f>
        <v>5000.0005000000001</v>
      </c>
      <c r="R5" s="9">
        <v>1</v>
      </c>
    </row>
    <row r="6" spans="2:18" ht="25.95" customHeight="1" x14ac:dyDescent="0.25">
      <c r="B6" s="11" t="str">
        <f t="shared" si="0"/>
        <v>Ropa</v>
      </c>
      <c r="C6" s="12">
        <f t="shared" si="1"/>
        <v>5000</v>
      </c>
      <c r="D6" s="12">
        <f t="shared" si="2"/>
        <v>5000</v>
      </c>
      <c r="E6" s="12">
        <f>TBL_Summary[[#This Row],[REAL]]-TBL_Summary[[#This Row],[ESTIMADO]]</f>
        <v>0</v>
      </c>
      <c r="F6" s="13"/>
      <c r="G6" s="13"/>
      <c r="H6" s="3"/>
      <c r="I6" s="3"/>
      <c r="J6" s="3"/>
      <c r="M6" s="9">
        <f t="shared" si="3"/>
        <v>4</v>
      </c>
      <c r="N6" s="14" t="s">
        <v>86</v>
      </c>
      <c r="O6" s="15">
        <f>TBL_Decorations[[#Totals],[ESTIMADO]]</f>
        <v>2300</v>
      </c>
      <c r="P6" s="15">
        <f>TBL_Decorations[[#Totals],[REAL]]</f>
        <v>2300</v>
      </c>
      <c r="Q6" s="16">
        <f t="shared" ref="Q6:Q14" si="4">P6+ROW(P6)/10000</f>
        <v>2300.0005999999998</v>
      </c>
      <c r="R6" s="9">
        <v>2</v>
      </c>
    </row>
    <row r="7" spans="2:18" ht="25.95" customHeight="1" x14ac:dyDescent="0.25">
      <c r="B7" s="11" t="str">
        <f t="shared" si="0"/>
        <v>Fotografía</v>
      </c>
      <c r="C7" s="12">
        <f t="shared" si="1"/>
        <v>2950</v>
      </c>
      <c r="D7" s="12">
        <f t="shared" si="2"/>
        <v>2950</v>
      </c>
      <c r="E7" s="12">
        <f>TBL_Summary[[#This Row],[REAL]]-TBL_Summary[[#This Row],[ESTIMADO]]</f>
        <v>0</v>
      </c>
      <c r="F7" s="13"/>
      <c r="G7" s="13"/>
      <c r="H7" s="3"/>
      <c r="I7" s="3"/>
      <c r="J7" s="3"/>
      <c r="M7" s="9">
        <f t="shared" si="3"/>
        <v>6</v>
      </c>
      <c r="N7" s="14" t="s">
        <v>87</v>
      </c>
      <c r="O7" s="15">
        <f>TBL_Gifts[[#Totals],[ESTIMADO]]</f>
        <v>1400</v>
      </c>
      <c r="P7" s="15">
        <f>TBL_Gifts[[#Totals],[REAL]]</f>
        <v>1300</v>
      </c>
      <c r="Q7" s="16">
        <f t="shared" si="4"/>
        <v>1300.0007000000001</v>
      </c>
      <c r="R7" s="9">
        <v>3</v>
      </c>
    </row>
    <row r="8" spans="2:18" ht="25.95" customHeight="1" x14ac:dyDescent="0.25">
      <c r="B8" s="11" t="str">
        <f t="shared" si="0"/>
        <v>Decoración</v>
      </c>
      <c r="C8" s="12">
        <f t="shared" si="1"/>
        <v>2300</v>
      </c>
      <c r="D8" s="12">
        <f t="shared" si="2"/>
        <v>2300</v>
      </c>
      <c r="E8" s="12">
        <f>TBL_Summary[[#This Row],[REAL]]-TBL_Summary[[#This Row],[ESTIMADO]]</f>
        <v>0</v>
      </c>
      <c r="F8" s="13"/>
      <c r="G8" s="13"/>
      <c r="H8" s="3"/>
      <c r="I8" s="3"/>
      <c r="J8" s="3"/>
      <c r="M8" s="9">
        <f t="shared" si="3"/>
        <v>8</v>
      </c>
      <c r="N8" s="14" t="s">
        <v>88</v>
      </c>
      <c r="O8" s="15">
        <f>TBL_Flowers[[#Totals],[ESTIMADO]]</f>
        <v>800</v>
      </c>
      <c r="P8" s="15">
        <f>TBL_Flowers[[#Totals],[REAL]]</f>
        <v>800</v>
      </c>
      <c r="Q8" s="16">
        <f t="shared" si="4"/>
        <v>800.00080000000003</v>
      </c>
      <c r="R8" s="9">
        <v>4</v>
      </c>
    </row>
    <row r="9" spans="2:18" ht="25.95" customHeight="1" x14ac:dyDescent="0.25">
      <c r="B9" s="11" t="str">
        <f t="shared" si="0"/>
        <v>Transporte</v>
      </c>
      <c r="C9" s="12">
        <f t="shared" si="1"/>
        <v>1450</v>
      </c>
      <c r="D9" s="12">
        <f t="shared" si="2"/>
        <v>1400</v>
      </c>
      <c r="E9" s="12">
        <f>TBL_Summary[[#This Row],[REAL]]-TBL_Summary[[#This Row],[ESTIMADO]]</f>
        <v>-50</v>
      </c>
      <c r="F9" s="13"/>
      <c r="G9" s="13"/>
      <c r="H9" s="3"/>
      <c r="I9" s="3"/>
      <c r="J9" s="3"/>
      <c r="M9" s="9">
        <f t="shared" si="3"/>
        <v>7</v>
      </c>
      <c r="N9" s="14" t="s">
        <v>89</v>
      </c>
      <c r="O9" s="15">
        <f>TBL_Music[[#Totals],[ESTIMADO]]</f>
        <v>1200</v>
      </c>
      <c r="P9" s="15">
        <f>TBL_Music[[#Totals],[REAL]]</f>
        <v>1250</v>
      </c>
      <c r="Q9" s="16">
        <f t="shared" si="4"/>
        <v>1250.0009</v>
      </c>
      <c r="R9" s="9">
        <v>5</v>
      </c>
    </row>
    <row r="10" spans="2:18" ht="25.95" customHeight="1" x14ac:dyDescent="0.25">
      <c r="B10" s="11" t="str">
        <f t="shared" si="0"/>
        <v>Regalos</v>
      </c>
      <c r="C10" s="12">
        <f t="shared" si="1"/>
        <v>1400</v>
      </c>
      <c r="D10" s="12">
        <f t="shared" si="2"/>
        <v>1300</v>
      </c>
      <c r="E10" s="12">
        <f>TBL_Summary[[#This Row],[REAL]]-TBL_Summary[[#This Row],[ESTIMADO]]</f>
        <v>-100</v>
      </c>
      <c r="F10" s="13"/>
      <c r="G10" s="13"/>
      <c r="H10" s="3"/>
      <c r="I10" s="3"/>
      <c r="J10" s="3"/>
      <c r="M10" s="9">
        <f t="shared" si="3"/>
        <v>3</v>
      </c>
      <c r="N10" s="14" t="s">
        <v>90</v>
      </c>
      <c r="O10" s="15">
        <f>TBL_Photography[[#Totals],[ESTIMADO]]</f>
        <v>2950</v>
      </c>
      <c r="P10" s="15">
        <f>TBL_Photography[[#Totals],[REAL]]</f>
        <v>2950</v>
      </c>
      <c r="Q10" s="16">
        <f t="shared" si="4"/>
        <v>2950.0010000000002</v>
      </c>
      <c r="R10" s="9">
        <v>6</v>
      </c>
    </row>
    <row r="11" spans="2:18" ht="25.95" customHeight="1" x14ac:dyDescent="0.25">
      <c r="B11" s="11" t="str">
        <f t="shared" si="0"/>
        <v>Música</v>
      </c>
      <c r="C11" s="12">
        <f t="shared" si="1"/>
        <v>1200</v>
      </c>
      <c r="D11" s="12">
        <f t="shared" si="2"/>
        <v>1250</v>
      </c>
      <c r="E11" s="12">
        <f>TBL_Summary[[#This Row],[REAL]]-TBL_Summary[[#This Row],[ESTIMADO]]</f>
        <v>50</v>
      </c>
      <c r="F11" s="13"/>
      <c r="G11" s="13"/>
      <c r="H11" s="3"/>
      <c r="I11" s="3"/>
      <c r="J11" s="3"/>
      <c r="M11" s="9">
        <f t="shared" si="3"/>
        <v>1</v>
      </c>
      <c r="N11" s="14" t="s">
        <v>58</v>
      </c>
      <c r="O11" s="15">
        <f>TBL_Reception[[#Totals],[ESTIMADO]]</f>
        <v>5500</v>
      </c>
      <c r="P11" s="15">
        <f>TBL_Reception[[#Totals],[REAL]]</f>
        <v>5300</v>
      </c>
      <c r="Q11" s="16">
        <f t="shared" si="4"/>
        <v>5300.0011000000004</v>
      </c>
      <c r="R11" s="9">
        <v>7</v>
      </c>
    </row>
    <row r="12" spans="2:18" ht="25.95" customHeight="1" x14ac:dyDescent="0.25">
      <c r="B12" s="11" t="str">
        <f t="shared" si="0"/>
        <v>Flores</v>
      </c>
      <c r="C12" s="12">
        <f t="shared" si="1"/>
        <v>800</v>
      </c>
      <c r="D12" s="12">
        <f t="shared" si="2"/>
        <v>800</v>
      </c>
      <c r="E12" s="12">
        <f>TBL_Summary[[#This Row],[REAL]]-TBL_Summary[[#This Row],[ESTIMADO]]</f>
        <v>0</v>
      </c>
      <c r="F12" s="13"/>
      <c r="G12" s="13"/>
      <c r="H12" s="3"/>
      <c r="I12" s="3"/>
      <c r="J12" s="3"/>
      <c r="M12" s="9">
        <f t="shared" si="3"/>
        <v>9</v>
      </c>
      <c r="N12" s="14" t="s">
        <v>91</v>
      </c>
      <c r="O12" s="15">
        <f>TBL_Stationery[[#Totals],[ESTIMADO]]</f>
        <v>400</v>
      </c>
      <c r="P12" s="15">
        <f>TBL_Stationery[[#Totals],[REAL]]</f>
        <v>400</v>
      </c>
      <c r="Q12" s="16">
        <f t="shared" si="4"/>
        <v>400.00119999999998</v>
      </c>
      <c r="R12" s="9">
        <v>8</v>
      </c>
    </row>
    <row r="13" spans="2:18" ht="25.95" customHeight="1" x14ac:dyDescent="0.25">
      <c r="B13" s="11" t="str">
        <f t="shared" si="0"/>
        <v>Impresión o papelería</v>
      </c>
      <c r="C13" s="12">
        <f t="shared" si="1"/>
        <v>400</v>
      </c>
      <c r="D13" s="12">
        <f t="shared" si="2"/>
        <v>400</v>
      </c>
      <c r="E13" s="12">
        <f>TBL_Summary[[#This Row],[REAL]]-TBL_Summary[[#This Row],[ESTIMADO]]</f>
        <v>0</v>
      </c>
      <c r="F13" s="13"/>
      <c r="G13" s="13"/>
      <c r="H13" s="3"/>
      <c r="I13" s="3"/>
      <c r="J13" s="3"/>
      <c r="M13" s="9">
        <f t="shared" si="3"/>
        <v>5</v>
      </c>
      <c r="N13" s="14" t="s">
        <v>92</v>
      </c>
      <c r="O13" s="15">
        <f>TBL_Transportation[[#Totals],[ESTIMADO]]</f>
        <v>1450</v>
      </c>
      <c r="P13" s="15">
        <f>TBL_Transportation[[#Totals],[REAL]]</f>
        <v>1400</v>
      </c>
      <c r="Q13" s="16">
        <f t="shared" si="4"/>
        <v>1400.0012999999999</v>
      </c>
      <c r="R13" s="9">
        <v>9</v>
      </c>
    </row>
    <row r="14" spans="2:18" ht="25.95" customHeight="1" x14ac:dyDescent="0.25">
      <c r="B14" s="11" t="str">
        <f t="shared" si="0"/>
        <v>Otros gastos</v>
      </c>
      <c r="C14" s="12">
        <f t="shared" si="1"/>
        <v>300</v>
      </c>
      <c r="D14" s="12">
        <f t="shared" si="2"/>
        <v>300</v>
      </c>
      <c r="E14" s="12">
        <f>TBL_Summary[[#This Row],[REAL]]-TBL_Summary[[#This Row],[ESTIMADO]]</f>
        <v>0</v>
      </c>
      <c r="F14" s="13"/>
      <c r="G14" s="13"/>
      <c r="H14" s="3"/>
      <c r="I14" s="3"/>
      <c r="J14" s="3"/>
      <c r="M14" s="9">
        <f t="shared" si="3"/>
        <v>10</v>
      </c>
      <c r="N14" s="14" t="s">
        <v>93</v>
      </c>
      <c r="O14" s="15">
        <f>TBL_OtherExpenses[[#Totals],[ESTIMADO]]</f>
        <v>300</v>
      </c>
      <c r="P14" s="15">
        <f>TBL_OtherExpenses[[#Totals],[REAL]]</f>
        <v>300</v>
      </c>
      <c r="Q14" s="16">
        <f t="shared" si="4"/>
        <v>300.00139999999999</v>
      </c>
      <c r="R14" s="9">
        <v>10</v>
      </c>
    </row>
    <row r="15" spans="2:18" ht="25.95" customHeight="1" x14ac:dyDescent="0.25">
      <c r="B15" s="6" t="s">
        <v>2</v>
      </c>
      <c r="C15" s="7">
        <f>SUBTOTAL(109,TBL_Summary[ESTIMADO])</f>
        <v>21300</v>
      </c>
      <c r="D15" s="7">
        <f>SUBTOTAL(109,TBL_Summary[REAL])</f>
        <v>21000</v>
      </c>
      <c r="E15" s="17">
        <f>SUBTOTAL(103,TBL_Summary[DIFERENCIA])</f>
        <v>10</v>
      </c>
      <c r="F15" s="13"/>
      <c r="G15" s="13"/>
      <c r="H15" s="3"/>
      <c r="I15" s="3"/>
      <c r="J15" s="3"/>
      <c r="P15" s="18"/>
    </row>
    <row r="16" spans="2:18" ht="25.95" customHeight="1" x14ac:dyDescent="0.25">
      <c r="B16" s="19"/>
      <c r="C16" s="19"/>
      <c r="D16" s="19"/>
      <c r="E16" s="19"/>
      <c r="F16" s="20"/>
      <c r="H16" s="5"/>
      <c r="I16" s="5"/>
      <c r="N16" s="18"/>
      <c r="O16" s="18"/>
      <c r="P16" s="18"/>
    </row>
    <row r="17" spans="2:16" ht="25.95" customHeight="1" x14ac:dyDescent="0.25">
      <c r="B17" s="19"/>
      <c r="C17" s="19"/>
      <c r="D17" s="19"/>
      <c r="E17" s="19"/>
      <c r="F17" s="20"/>
      <c r="H17" s="5"/>
      <c r="I17" s="5"/>
      <c r="N17" s="18"/>
      <c r="O17" s="18"/>
      <c r="P17" s="18"/>
    </row>
    <row r="18" spans="2:16" ht="25.95" customHeight="1" x14ac:dyDescent="0.25">
      <c r="B18" s="19"/>
      <c r="C18" s="19"/>
      <c r="D18" s="19"/>
      <c r="E18" s="19"/>
      <c r="F18" s="20"/>
      <c r="H18" s="5"/>
      <c r="I18" s="5"/>
      <c r="N18" s="18"/>
      <c r="O18" s="18"/>
      <c r="P18" s="18"/>
    </row>
    <row r="19" spans="2:16" ht="25.95" customHeight="1" x14ac:dyDescent="0.25">
      <c r="B19" s="21" t="s">
        <v>3</v>
      </c>
      <c r="C19" s="22" t="s">
        <v>42</v>
      </c>
      <c r="D19" s="22" t="s">
        <v>43</v>
      </c>
      <c r="E19" s="23" t="s">
        <v>44</v>
      </c>
      <c r="F19" s="24"/>
      <c r="G19" s="21" t="s">
        <v>46</v>
      </c>
      <c r="H19" s="22" t="s">
        <v>42</v>
      </c>
      <c r="I19" s="22" t="s">
        <v>43</v>
      </c>
      <c r="J19" s="23" t="s">
        <v>44</v>
      </c>
      <c r="N19" s="18"/>
      <c r="O19" s="18"/>
      <c r="P19" s="18"/>
    </row>
    <row r="20" spans="2:16" ht="25.95" customHeight="1" x14ac:dyDescent="0.25">
      <c r="B20" s="11" t="s">
        <v>4</v>
      </c>
      <c r="C20" s="12">
        <v>5000</v>
      </c>
      <c r="D20" s="12">
        <v>5000</v>
      </c>
      <c r="E20" s="25">
        <f>TBL_Apparel[[#This Row],[REAL]]-TBL_Apparel[[#This Row],[ESTIMADO]]</f>
        <v>0</v>
      </c>
      <c r="F20" s="26"/>
      <c r="G20" s="11" t="s">
        <v>47</v>
      </c>
      <c r="H20" s="12">
        <v>1800</v>
      </c>
      <c r="I20" s="12">
        <v>1800</v>
      </c>
      <c r="J20" s="25">
        <f>TBL_Decorations[[#This Row],[REAL]]-TBL_Decorations[[#This Row],[ESTIMADO]]</f>
        <v>0</v>
      </c>
      <c r="N20" s="18"/>
      <c r="O20" s="18"/>
      <c r="P20" s="18"/>
    </row>
    <row r="21" spans="2:16" ht="25.95" customHeight="1" x14ac:dyDescent="0.25">
      <c r="B21" s="11" t="s">
        <v>5</v>
      </c>
      <c r="C21" s="12">
        <v>0</v>
      </c>
      <c r="D21" s="12">
        <v>0</v>
      </c>
      <c r="E21" s="25">
        <f>TBL_Apparel[[#This Row],[REAL]]-TBL_Apparel[[#This Row],[ESTIMADO]]</f>
        <v>0</v>
      </c>
      <c r="F21" s="26"/>
      <c r="G21" s="11" t="s">
        <v>48</v>
      </c>
      <c r="H21" s="12">
        <v>500</v>
      </c>
      <c r="I21" s="12">
        <v>500</v>
      </c>
      <c r="J21" s="25">
        <f>TBL_Decorations[[#This Row],[REAL]]-TBL_Decorations[[#This Row],[ESTIMADO]]</f>
        <v>0</v>
      </c>
      <c r="N21" s="18"/>
      <c r="O21" s="18"/>
      <c r="P21" s="18"/>
    </row>
    <row r="22" spans="2:16" ht="25.95" customHeight="1" x14ac:dyDescent="0.25">
      <c r="B22" s="11" t="s">
        <v>6</v>
      </c>
      <c r="C22" s="12">
        <v>0</v>
      </c>
      <c r="D22" s="12">
        <v>0</v>
      </c>
      <c r="E22" s="25">
        <f>TBL_Apparel[[#This Row],[REAL]]-TBL_Apparel[[#This Row],[ESTIMADO]]</f>
        <v>0</v>
      </c>
      <c r="F22" s="26"/>
      <c r="G22" s="11" t="s">
        <v>49</v>
      </c>
      <c r="H22" s="12">
        <v>0</v>
      </c>
      <c r="I22" s="12">
        <v>0</v>
      </c>
      <c r="J22" s="25">
        <f>TBL_Decorations[[#This Row],[REAL]]-TBL_Decorations[[#This Row],[ESTIMADO]]</f>
        <v>0</v>
      </c>
      <c r="N22" s="18"/>
      <c r="O22" s="18"/>
      <c r="P22" s="18"/>
    </row>
    <row r="23" spans="2:16" ht="25.95" customHeight="1" x14ac:dyDescent="0.25">
      <c r="B23" s="11" t="s">
        <v>7</v>
      </c>
      <c r="C23" s="12">
        <v>0</v>
      </c>
      <c r="D23" s="12">
        <v>0</v>
      </c>
      <c r="E23" s="25">
        <f>TBL_Apparel[[#This Row],[REAL]]-TBL_Apparel[[#This Row],[ESTIMADO]]</f>
        <v>0</v>
      </c>
      <c r="F23" s="26"/>
      <c r="G23" s="11" t="s">
        <v>50</v>
      </c>
      <c r="H23" s="12">
        <v>0</v>
      </c>
      <c r="I23" s="12">
        <v>0</v>
      </c>
      <c r="J23" s="25">
        <f>TBL_Decorations[[#This Row],[REAL]]-TBL_Decorations[[#This Row],[ESTIMADO]]</f>
        <v>0</v>
      </c>
    </row>
    <row r="24" spans="2:16" ht="25.95" customHeight="1" x14ac:dyDescent="0.25">
      <c r="B24" s="11" t="s">
        <v>8</v>
      </c>
      <c r="C24" s="12">
        <v>0</v>
      </c>
      <c r="D24" s="12">
        <v>0</v>
      </c>
      <c r="E24" s="25">
        <f>TBL_Apparel[[#This Row],[REAL]]-TBL_Apparel[[#This Row],[ESTIMADO]]</f>
        <v>0</v>
      </c>
      <c r="F24" s="26"/>
      <c r="G24" s="11" t="s">
        <v>51</v>
      </c>
      <c r="H24" s="12">
        <v>0</v>
      </c>
      <c r="I24" s="12">
        <v>0</v>
      </c>
      <c r="J24" s="25">
        <f>TBL_Decorations[[#This Row],[REAL]]-TBL_Decorations[[#This Row],[ESTIMADO]]</f>
        <v>0</v>
      </c>
    </row>
    <row r="25" spans="2:16" ht="25.95" customHeight="1" x14ac:dyDescent="0.25">
      <c r="B25" s="11" t="s">
        <v>9</v>
      </c>
      <c r="C25" s="12">
        <v>0</v>
      </c>
      <c r="D25" s="12">
        <v>0</v>
      </c>
      <c r="E25" s="25">
        <f>TBL_Apparel[[#This Row],[REAL]]-TBL_Apparel[[#This Row],[ESTIMADO]]</f>
        <v>0</v>
      </c>
      <c r="F25" s="26"/>
      <c r="G25" s="11" t="s">
        <v>11</v>
      </c>
      <c r="H25" s="12">
        <v>0</v>
      </c>
      <c r="I25" s="12">
        <v>0</v>
      </c>
      <c r="J25" s="25">
        <f>TBL_Decorations[[#This Row],[REAL]]-TBL_Decorations[[#This Row],[ESTIMADO]]</f>
        <v>0</v>
      </c>
    </row>
    <row r="26" spans="2:16" ht="25.95" customHeight="1" x14ac:dyDescent="0.25">
      <c r="B26" s="11" t="s">
        <v>10</v>
      </c>
      <c r="C26" s="12">
        <v>0</v>
      </c>
      <c r="D26" s="12">
        <v>0</v>
      </c>
      <c r="E26" s="25">
        <f>TBL_Apparel[[#This Row],[REAL]]-TBL_Apparel[[#This Row],[ESTIMADO]]</f>
        <v>0</v>
      </c>
      <c r="F26" s="26"/>
      <c r="G26" s="21" t="s">
        <v>52</v>
      </c>
      <c r="H26" s="22">
        <f>SUBTOTAL(109,TBL_Decorations[ESTIMADO])</f>
        <v>2300</v>
      </c>
      <c r="I26" s="22">
        <f>SUBTOTAL(109,TBL_Decorations[REAL])</f>
        <v>2300</v>
      </c>
      <c r="J26" s="27">
        <f>SUBTOTAL(109,TBL_Decorations[DIFERENCIA])</f>
        <v>0</v>
      </c>
    </row>
    <row r="27" spans="2:16" ht="25.95" customHeight="1" x14ac:dyDescent="0.25">
      <c r="B27" s="11" t="s">
        <v>11</v>
      </c>
      <c r="C27" s="12">
        <v>0</v>
      </c>
      <c r="D27" s="12">
        <v>0</v>
      </c>
      <c r="E27" s="25">
        <f>TBL_Apparel[[#This Row],[REAL]]-TBL_Apparel[[#This Row],[ESTIMADO]]</f>
        <v>0</v>
      </c>
      <c r="F27" s="26"/>
      <c r="G27" s="28"/>
      <c r="H27" s="28"/>
      <c r="I27" s="28"/>
      <c r="J27" s="28"/>
    </row>
    <row r="28" spans="2:16" ht="25.95" customHeight="1" x14ac:dyDescent="0.25">
      <c r="B28" s="21" t="s">
        <v>12</v>
      </c>
      <c r="C28" s="22">
        <f>SUBTOTAL(109,TBL_Apparel[ESTIMADO])</f>
        <v>5000</v>
      </c>
      <c r="D28" s="22">
        <f>SUBTOTAL(109,TBL_Apparel[REAL])</f>
        <v>5000</v>
      </c>
      <c r="E28" s="25">
        <f>SUBTOTAL(109,TBL_Apparel[DIFERENCIA])</f>
        <v>0</v>
      </c>
      <c r="F28" s="26"/>
      <c r="G28" s="28"/>
      <c r="H28" s="28"/>
      <c r="I28" s="28"/>
      <c r="J28" s="28"/>
    </row>
    <row r="29" spans="2:16" ht="25.95" customHeight="1" x14ac:dyDescent="0.25">
      <c r="B29" s="29"/>
      <c r="C29" s="29"/>
      <c r="D29" s="29"/>
      <c r="E29" s="29"/>
      <c r="F29" s="26"/>
      <c r="G29" s="21" t="s">
        <v>53</v>
      </c>
      <c r="H29" s="22" t="s">
        <v>42</v>
      </c>
      <c r="I29" s="22" t="s">
        <v>43</v>
      </c>
      <c r="J29" s="23" t="s">
        <v>44</v>
      </c>
    </row>
    <row r="30" spans="2:16" ht="25.95" customHeight="1" x14ac:dyDescent="0.25">
      <c r="B30" s="29"/>
      <c r="C30" s="29"/>
      <c r="D30" s="29"/>
      <c r="E30" s="29"/>
      <c r="F30" s="26"/>
      <c r="G30" s="11" t="s">
        <v>54</v>
      </c>
      <c r="H30" s="12">
        <v>800</v>
      </c>
      <c r="I30" s="12">
        <v>800</v>
      </c>
      <c r="J30" s="25">
        <f>TBL_Flowers[[#This Row],[REAL]]-TBL_Flowers[[#This Row],[ESTIMADO]]</f>
        <v>0</v>
      </c>
    </row>
    <row r="31" spans="2:16" ht="25.95" customHeight="1" x14ac:dyDescent="0.25">
      <c r="B31" s="21" t="s">
        <v>13</v>
      </c>
      <c r="C31" s="22" t="s">
        <v>42</v>
      </c>
      <c r="D31" s="22" t="s">
        <v>43</v>
      </c>
      <c r="E31" s="23" t="s">
        <v>44</v>
      </c>
      <c r="F31" s="26"/>
      <c r="G31" s="11" t="s">
        <v>55</v>
      </c>
      <c r="H31" s="12">
        <v>0</v>
      </c>
      <c r="I31" s="12">
        <v>0</v>
      </c>
      <c r="J31" s="25">
        <f>TBL_Flowers[[#This Row],[REAL]]-TBL_Flowers[[#This Row],[ESTIMADO]]</f>
        <v>0</v>
      </c>
    </row>
    <row r="32" spans="2:16" ht="25.95" customHeight="1" x14ac:dyDescent="0.25">
      <c r="B32" s="11" t="s">
        <v>14</v>
      </c>
      <c r="C32" s="12">
        <v>1200</v>
      </c>
      <c r="D32" s="12">
        <v>1100</v>
      </c>
      <c r="E32" s="25">
        <f>TBL_Gifts[[#This Row],[REAL]]-TBL_Gifts[[#This Row],[ESTIMADO]]</f>
        <v>-100</v>
      </c>
      <c r="F32" s="26"/>
      <c r="G32" s="11" t="s">
        <v>56</v>
      </c>
      <c r="H32" s="12">
        <v>0</v>
      </c>
      <c r="I32" s="12">
        <v>0</v>
      </c>
      <c r="J32" s="25">
        <f>TBL_Flowers[[#This Row],[REAL]]-TBL_Flowers[[#This Row],[ESTIMADO]]</f>
        <v>0</v>
      </c>
    </row>
    <row r="33" spans="2:10" ht="25.95" customHeight="1" x14ac:dyDescent="0.25">
      <c r="B33" s="11" t="s">
        <v>15</v>
      </c>
      <c r="C33" s="12">
        <v>200</v>
      </c>
      <c r="D33" s="12">
        <v>200</v>
      </c>
      <c r="E33" s="25">
        <f>TBL_Gifts[[#This Row],[REAL]]-TBL_Gifts[[#This Row],[ESTIMADO]]</f>
        <v>0</v>
      </c>
      <c r="F33" s="26"/>
      <c r="G33" s="11" t="s">
        <v>57</v>
      </c>
      <c r="H33" s="12">
        <v>0</v>
      </c>
      <c r="I33" s="12">
        <v>0</v>
      </c>
      <c r="J33" s="25">
        <f>TBL_Flowers[[#This Row],[REAL]]-TBL_Flowers[[#This Row],[ESTIMADO]]</f>
        <v>0</v>
      </c>
    </row>
    <row r="34" spans="2:10" ht="25.95" customHeight="1" x14ac:dyDescent="0.25">
      <c r="B34" s="11" t="s">
        <v>16</v>
      </c>
      <c r="C34" s="12">
        <v>0</v>
      </c>
      <c r="D34" s="12">
        <v>0</v>
      </c>
      <c r="E34" s="25">
        <f>TBL_Gifts[[#This Row],[REAL]]-TBL_Gifts[[#This Row],[ESTIMADO]]</f>
        <v>0</v>
      </c>
      <c r="F34" s="26"/>
      <c r="G34" s="11" t="s">
        <v>58</v>
      </c>
      <c r="H34" s="12">
        <v>0</v>
      </c>
      <c r="I34" s="12">
        <v>0</v>
      </c>
      <c r="J34" s="25">
        <f>TBL_Flowers[[#This Row],[REAL]]-TBL_Flowers[[#This Row],[ESTIMADO]]</f>
        <v>0</v>
      </c>
    </row>
    <row r="35" spans="2:10" ht="25.95" customHeight="1" x14ac:dyDescent="0.25">
      <c r="B35" s="11" t="s">
        <v>11</v>
      </c>
      <c r="C35" s="12">
        <v>0</v>
      </c>
      <c r="D35" s="12">
        <v>0</v>
      </c>
      <c r="E35" s="25">
        <f>TBL_Gifts[[#This Row],[REAL]]-TBL_Gifts[[#This Row],[ESTIMADO]]</f>
        <v>0</v>
      </c>
      <c r="F35" s="26"/>
      <c r="G35" s="11" t="s">
        <v>11</v>
      </c>
      <c r="H35" s="12">
        <v>0</v>
      </c>
      <c r="I35" s="12">
        <v>0</v>
      </c>
      <c r="J35" s="25">
        <f>TBL_Flowers[[#This Row],[REAL]]-TBL_Flowers[[#This Row],[ESTIMADO]]</f>
        <v>0</v>
      </c>
    </row>
    <row r="36" spans="2:10" ht="25.95" customHeight="1" x14ac:dyDescent="0.25">
      <c r="B36" s="21" t="s">
        <v>17</v>
      </c>
      <c r="C36" s="22">
        <f>SUBTOTAL(109,TBL_Gifts[ESTIMADO])</f>
        <v>1400</v>
      </c>
      <c r="D36" s="22">
        <f>SUBTOTAL(109,TBL_Gifts[REAL])</f>
        <v>1300</v>
      </c>
      <c r="E36" s="27">
        <f>SUBTOTAL(105,TBL_Gifts[DIFERENCIA])</f>
        <v>-100</v>
      </c>
      <c r="F36" s="26"/>
      <c r="G36" s="21" t="s">
        <v>59</v>
      </c>
      <c r="H36" s="22">
        <f>SUBTOTAL(109,TBL_Flowers[ESTIMADO])</f>
        <v>800</v>
      </c>
      <c r="I36" s="22">
        <f>SUBTOTAL(109,TBL_Flowers[REAL])</f>
        <v>800</v>
      </c>
      <c r="J36" s="27">
        <f>SUBTOTAL(109,TBL_Flowers[DIFERENCIA])</f>
        <v>0</v>
      </c>
    </row>
    <row r="37" spans="2:10" ht="25.95" customHeight="1" x14ac:dyDescent="0.25">
      <c r="B37" s="30"/>
      <c r="C37" s="30"/>
      <c r="D37" s="30"/>
      <c r="E37" s="30"/>
      <c r="F37" s="26"/>
      <c r="G37" s="31"/>
      <c r="H37" s="31"/>
      <c r="I37" s="31"/>
      <c r="J37" s="31"/>
    </row>
    <row r="38" spans="2:10" ht="25.95" customHeight="1" x14ac:dyDescent="0.25">
      <c r="B38" s="30"/>
      <c r="C38" s="30"/>
      <c r="D38" s="30"/>
      <c r="E38" s="30"/>
      <c r="F38" s="26"/>
      <c r="G38" s="31"/>
      <c r="H38" s="31"/>
      <c r="I38" s="31"/>
      <c r="J38" s="31"/>
    </row>
    <row r="39" spans="2:10" ht="25.95" customHeight="1" x14ac:dyDescent="0.25">
      <c r="B39" s="21" t="s">
        <v>18</v>
      </c>
      <c r="C39" s="22" t="s">
        <v>42</v>
      </c>
      <c r="D39" s="22" t="s">
        <v>43</v>
      </c>
      <c r="E39" s="23" t="s">
        <v>44</v>
      </c>
      <c r="F39" s="26"/>
      <c r="G39" s="21" t="s">
        <v>60</v>
      </c>
      <c r="H39" s="22" t="s">
        <v>42</v>
      </c>
      <c r="I39" s="22" t="s">
        <v>43</v>
      </c>
      <c r="J39" s="23" t="s">
        <v>44</v>
      </c>
    </row>
    <row r="40" spans="2:10" ht="25.95" customHeight="1" x14ac:dyDescent="0.25">
      <c r="B40" s="11" t="s">
        <v>19</v>
      </c>
      <c r="C40" s="12">
        <v>1200</v>
      </c>
      <c r="D40" s="12">
        <v>1250</v>
      </c>
      <c r="E40" s="25">
        <f>TBL_Music[[#This Row],[REAL]]-TBL_Music[[#This Row],[ESTIMADO]]</f>
        <v>50</v>
      </c>
      <c r="F40" s="26"/>
      <c r="G40" s="11" t="s">
        <v>61</v>
      </c>
      <c r="H40" s="12">
        <v>1200</v>
      </c>
      <c r="I40" s="12">
        <v>1200</v>
      </c>
      <c r="J40" s="25">
        <f>TBL_Photography[[#This Row],[REAL]]-TBL_Photography[[#This Row],[ESTIMADO]]</f>
        <v>0</v>
      </c>
    </row>
    <row r="41" spans="2:10" ht="25.95" customHeight="1" x14ac:dyDescent="0.25">
      <c r="B41" s="11" t="s">
        <v>20</v>
      </c>
      <c r="C41" s="12">
        <v>0</v>
      </c>
      <c r="D41" s="12">
        <v>0</v>
      </c>
      <c r="E41" s="25">
        <f>TBL_Music[[#This Row],[REAL]]-TBL_Music[[#This Row],[ESTIMADO]]</f>
        <v>0</v>
      </c>
      <c r="F41" s="26"/>
      <c r="G41" s="11" t="s">
        <v>62</v>
      </c>
      <c r="H41" s="12">
        <v>800</v>
      </c>
      <c r="I41" s="12">
        <v>800</v>
      </c>
      <c r="J41" s="25">
        <f>TBL_Photography[[#This Row],[REAL]]-TBL_Photography[[#This Row],[ESTIMADO]]</f>
        <v>0</v>
      </c>
    </row>
    <row r="42" spans="2:10" ht="25.95" customHeight="1" x14ac:dyDescent="0.25">
      <c r="B42" s="11" t="s">
        <v>11</v>
      </c>
      <c r="C42" s="12">
        <v>0</v>
      </c>
      <c r="D42" s="12">
        <v>0</v>
      </c>
      <c r="E42" s="25">
        <f>TBL_Music[[#This Row],[REAL]]-TBL_Music[[#This Row],[ESTIMADO]]</f>
        <v>0</v>
      </c>
      <c r="F42" s="26"/>
      <c r="G42" s="11" t="s">
        <v>63</v>
      </c>
      <c r="H42" s="12">
        <v>0</v>
      </c>
      <c r="I42" s="12">
        <v>0</v>
      </c>
      <c r="J42" s="25">
        <f>TBL_Photography[[#This Row],[REAL]]-TBL_Photography[[#This Row],[ESTIMADO]]</f>
        <v>0</v>
      </c>
    </row>
    <row r="43" spans="2:10" ht="25.95" customHeight="1" x14ac:dyDescent="0.25">
      <c r="B43" s="21" t="s">
        <v>21</v>
      </c>
      <c r="C43" s="22">
        <f>SUBTOTAL(109,TBL_Music[ESTIMADO])</f>
        <v>1200</v>
      </c>
      <c r="D43" s="22">
        <f>SUBTOTAL(109,TBL_Music[REAL])</f>
        <v>1250</v>
      </c>
      <c r="E43" s="27">
        <f>SUBTOTAL(109,TBL_Music[DIFERENCIA])</f>
        <v>50</v>
      </c>
      <c r="F43" s="26"/>
      <c r="G43" s="11" t="s">
        <v>64</v>
      </c>
      <c r="H43" s="12">
        <v>0</v>
      </c>
      <c r="I43" s="12">
        <v>0</v>
      </c>
      <c r="J43" s="25">
        <f>TBL_Photography[[#This Row],[REAL]]-TBL_Photography[[#This Row],[ESTIMADO]]</f>
        <v>0</v>
      </c>
    </row>
    <row r="44" spans="2:10" ht="25.95" customHeight="1" x14ac:dyDescent="0.25">
      <c r="B44" s="29"/>
      <c r="C44" s="29"/>
      <c r="D44" s="29"/>
      <c r="E44" s="29"/>
      <c r="F44" s="26"/>
      <c r="G44" s="11" t="s">
        <v>65</v>
      </c>
      <c r="H44" s="12">
        <v>950</v>
      </c>
      <c r="I44" s="12">
        <v>950</v>
      </c>
      <c r="J44" s="25">
        <f>TBL_Photography[[#This Row],[REAL]]-TBL_Photography[[#This Row],[ESTIMADO]]</f>
        <v>0</v>
      </c>
    </row>
    <row r="45" spans="2:10" ht="25.95" customHeight="1" x14ac:dyDescent="0.25">
      <c r="B45" s="29"/>
      <c r="C45" s="29"/>
      <c r="D45" s="29"/>
      <c r="E45" s="29"/>
      <c r="F45" s="26"/>
      <c r="G45" s="11" t="s">
        <v>11</v>
      </c>
      <c r="H45" s="12">
        <v>0</v>
      </c>
      <c r="I45" s="12">
        <v>0</v>
      </c>
      <c r="J45" s="25">
        <f>TBL_Photography[[#This Row],[REAL]]-TBL_Photography[[#This Row],[ESTIMADO]]</f>
        <v>0</v>
      </c>
    </row>
    <row r="46" spans="2:10" ht="25.95" customHeight="1" x14ac:dyDescent="0.25">
      <c r="B46" s="21" t="s">
        <v>22</v>
      </c>
      <c r="C46" s="22" t="s">
        <v>42</v>
      </c>
      <c r="D46" s="22" t="s">
        <v>43</v>
      </c>
      <c r="E46" s="23" t="s">
        <v>44</v>
      </c>
      <c r="F46" s="26"/>
      <c r="G46" s="21" t="s">
        <v>66</v>
      </c>
      <c r="H46" s="22">
        <f>SUBTOTAL(109,TBL_Photography[ESTIMADO])</f>
        <v>2950</v>
      </c>
      <c r="I46" s="22">
        <f>SUBTOTAL(109,TBL_Photography[REAL])</f>
        <v>2950</v>
      </c>
      <c r="J46" s="27">
        <f>SUBTOTAL(109,TBL_Photography[DIFERENCIA])</f>
        <v>0</v>
      </c>
    </row>
    <row r="47" spans="2:10" ht="25.95" customHeight="1" x14ac:dyDescent="0.25">
      <c r="B47" s="11" t="s">
        <v>23</v>
      </c>
      <c r="C47" s="12">
        <v>5500</v>
      </c>
      <c r="D47" s="12">
        <v>5300</v>
      </c>
      <c r="E47" s="25">
        <f>TBL_Reception[[#This Row],[REAL]]-TBL_Reception[[#This Row],[ESTIMADO]]</f>
        <v>-200</v>
      </c>
      <c r="F47" s="26"/>
      <c r="G47" s="31"/>
      <c r="H47" s="31"/>
      <c r="I47" s="31"/>
      <c r="J47" s="31"/>
    </row>
    <row r="48" spans="2:10" ht="25.95" customHeight="1" x14ac:dyDescent="0.25">
      <c r="B48" s="11" t="s">
        <v>24</v>
      </c>
      <c r="C48" s="12">
        <v>0</v>
      </c>
      <c r="D48" s="12">
        <v>0</v>
      </c>
      <c r="E48" s="25">
        <f>TBL_Reception[[#This Row],[REAL]]-TBL_Reception[[#This Row],[ESTIMADO]]</f>
        <v>0</v>
      </c>
      <c r="F48" s="26"/>
      <c r="G48" s="31"/>
      <c r="H48" s="31"/>
      <c r="I48" s="31"/>
      <c r="J48" s="31"/>
    </row>
    <row r="49" spans="2:10" ht="25.95" customHeight="1" x14ac:dyDescent="0.25">
      <c r="B49" s="11" t="s">
        <v>25</v>
      </c>
      <c r="C49" s="12">
        <v>0</v>
      </c>
      <c r="D49" s="12">
        <v>0</v>
      </c>
      <c r="E49" s="25">
        <f>TBL_Reception[[#This Row],[REAL]]-TBL_Reception[[#This Row],[ESTIMADO]]</f>
        <v>0</v>
      </c>
      <c r="F49" s="26"/>
      <c r="G49" s="21" t="s">
        <v>67</v>
      </c>
      <c r="H49" s="22" t="s">
        <v>42</v>
      </c>
      <c r="I49" s="22" t="s">
        <v>43</v>
      </c>
      <c r="J49" s="23" t="s">
        <v>44</v>
      </c>
    </row>
    <row r="50" spans="2:10" ht="25.95" customHeight="1" x14ac:dyDescent="0.25">
      <c r="B50" s="11" t="s">
        <v>26</v>
      </c>
      <c r="C50" s="12">
        <v>0</v>
      </c>
      <c r="D50" s="12">
        <v>0</v>
      </c>
      <c r="E50" s="25">
        <f>TBL_Reception[[#This Row],[REAL]]-TBL_Reception[[#This Row],[ESTIMADO]]</f>
        <v>0</v>
      </c>
      <c r="F50" s="26"/>
      <c r="G50" s="11" t="s">
        <v>68</v>
      </c>
      <c r="H50" s="12">
        <v>400</v>
      </c>
      <c r="I50" s="12">
        <v>400</v>
      </c>
      <c r="J50" s="25">
        <f>TBL_Stationery[[#This Row],[REAL]]-TBL_Stationery[[#This Row],[ESTIMADO]]</f>
        <v>0</v>
      </c>
    </row>
    <row r="51" spans="2:10" ht="25.95" customHeight="1" x14ac:dyDescent="0.25">
      <c r="B51" s="11" t="s">
        <v>27</v>
      </c>
      <c r="C51" s="12">
        <v>0</v>
      </c>
      <c r="D51" s="12">
        <v>0</v>
      </c>
      <c r="E51" s="25">
        <f>TBL_Reception[[#This Row],[REAL]]-TBL_Reception[[#This Row],[ESTIMADO]]</f>
        <v>0</v>
      </c>
      <c r="F51" s="26"/>
      <c r="G51" s="11" t="s">
        <v>69</v>
      </c>
      <c r="H51" s="12">
        <v>0</v>
      </c>
      <c r="I51" s="12">
        <v>0</v>
      </c>
      <c r="J51" s="25">
        <f>TBL_Stationery[[#This Row],[REAL]]-TBL_Stationery[[#This Row],[ESTIMADO]]</f>
        <v>0</v>
      </c>
    </row>
    <row r="52" spans="2:10" ht="25.95" customHeight="1" x14ac:dyDescent="0.25">
      <c r="B52" s="11" t="s">
        <v>28</v>
      </c>
      <c r="C52" s="12">
        <v>0</v>
      </c>
      <c r="D52" s="12">
        <v>0</v>
      </c>
      <c r="E52" s="25">
        <f>TBL_Reception[[#This Row],[REAL]]-TBL_Reception[[#This Row],[ESTIMADO]]</f>
        <v>0</v>
      </c>
      <c r="F52" s="26"/>
      <c r="G52" s="11" t="s">
        <v>70</v>
      </c>
      <c r="H52" s="12">
        <v>0</v>
      </c>
      <c r="I52" s="12">
        <v>0</v>
      </c>
      <c r="J52" s="25">
        <f>TBL_Stationery[[#This Row],[REAL]]-TBL_Stationery[[#This Row],[ESTIMADO]]</f>
        <v>0</v>
      </c>
    </row>
    <row r="53" spans="2:10" ht="25.95" customHeight="1" x14ac:dyDescent="0.25">
      <c r="B53" s="11" t="s">
        <v>29</v>
      </c>
      <c r="C53" s="12">
        <v>0</v>
      </c>
      <c r="D53" s="12">
        <v>0</v>
      </c>
      <c r="E53" s="25">
        <f>TBL_Reception[[#This Row],[REAL]]-TBL_Reception[[#This Row],[ESTIMADO]]</f>
        <v>0</v>
      </c>
      <c r="F53" s="26"/>
      <c r="G53" s="11" t="s">
        <v>71</v>
      </c>
      <c r="H53" s="12">
        <v>0</v>
      </c>
      <c r="I53" s="12">
        <v>0</v>
      </c>
      <c r="J53" s="25">
        <f>TBL_Stationery[[#This Row],[REAL]]-TBL_Stationery[[#This Row],[ESTIMADO]]</f>
        <v>0</v>
      </c>
    </row>
    <row r="54" spans="2:10" ht="25.95" customHeight="1" x14ac:dyDescent="0.25">
      <c r="B54" s="11" t="s">
        <v>30</v>
      </c>
      <c r="C54" s="12">
        <v>0</v>
      </c>
      <c r="D54" s="12">
        <v>0</v>
      </c>
      <c r="E54" s="25">
        <f>TBL_Reception[[#This Row],[REAL]]-TBL_Reception[[#This Row],[ESTIMADO]]</f>
        <v>0</v>
      </c>
      <c r="F54" s="26"/>
      <c r="G54" s="11" t="s">
        <v>72</v>
      </c>
      <c r="H54" s="12">
        <v>0</v>
      </c>
      <c r="I54" s="12">
        <v>0</v>
      </c>
      <c r="J54" s="25">
        <f>TBL_Stationery[[#This Row],[REAL]]-TBL_Stationery[[#This Row],[ESTIMADO]]</f>
        <v>0</v>
      </c>
    </row>
    <row r="55" spans="2:10" ht="25.95" customHeight="1" x14ac:dyDescent="0.25">
      <c r="B55" s="11" t="s">
        <v>11</v>
      </c>
      <c r="C55" s="12">
        <v>0</v>
      </c>
      <c r="D55" s="12">
        <v>0</v>
      </c>
      <c r="E55" s="25">
        <f>TBL_Reception[[#This Row],[REAL]]-TBL_Reception[[#This Row],[ESTIMADO]]</f>
        <v>0</v>
      </c>
      <c r="F55" s="26"/>
      <c r="G55" s="11" t="s">
        <v>73</v>
      </c>
      <c r="H55" s="12">
        <v>0</v>
      </c>
      <c r="I55" s="12">
        <v>0</v>
      </c>
      <c r="J55" s="25">
        <f>TBL_Stationery[[#This Row],[REAL]]-TBL_Stationery[[#This Row],[ESTIMADO]]</f>
        <v>0</v>
      </c>
    </row>
    <row r="56" spans="2:10" ht="25.95" customHeight="1" x14ac:dyDescent="0.25">
      <c r="B56" s="21" t="s">
        <v>31</v>
      </c>
      <c r="C56" s="22">
        <f>SUBTOTAL(109,TBL_Reception[ESTIMADO])</f>
        <v>5500</v>
      </c>
      <c r="D56" s="22">
        <f>SUBTOTAL(109,TBL_Reception[REAL])</f>
        <v>5300</v>
      </c>
      <c r="E56" s="27">
        <f>SUBTOTAL(109,TBL_Reception[DIFERENCIA])</f>
        <v>-200</v>
      </c>
      <c r="F56" s="26"/>
      <c r="G56" s="11" t="s">
        <v>74</v>
      </c>
      <c r="H56" s="12">
        <v>0</v>
      </c>
      <c r="I56" s="12">
        <v>0</v>
      </c>
      <c r="J56" s="25">
        <f>TBL_Stationery[[#This Row],[REAL]]-TBL_Stationery[[#This Row],[ESTIMADO]]</f>
        <v>0</v>
      </c>
    </row>
    <row r="57" spans="2:10" ht="25.95" customHeight="1" x14ac:dyDescent="0.25">
      <c r="B57" s="31"/>
      <c r="C57" s="31"/>
      <c r="D57" s="31"/>
      <c r="E57" s="31"/>
      <c r="F57" s="26"/>
      <c r="G57" s="11" t="s">
        <v>75</v>
      </c>
      <c r="H57" s="12">
        <v>0</v>
      </c>
      <c r="I57" s="12">
        <v>0</v>
      </c>
      <c r="J57" s="25">
        <f>TBL_Stationery[[#This Row],[REAL]]-TBL_Stationery[[#This Row],[ESTIMADO]]</f>
        <v>0</v>
      </c>
    </row>
    <row r="58" spans="2:10" ht="25.95" customHeight="1" x14ac:dyDescent="0.25">
      <c r="B58" s="31"/>
      <c r="C58" s="31"/>
      <c r="D58" s="31"/>
      <c r="E58" s="31"/>
      <c r="F58" s="26"/>
      <c r="G58" s="11" t="s">
        <v>76</v>
      </c>
      <c r="H58" s="12">
        <v>0</v>
      </c>
      <c r="I58" s="12">
        <v>0</v>
      </c>
      <c r="J58" s="25">
        <f>TBL_Stationery[[#This Row],[REAL]]-TBL_Stationery[[#This Row],[ESTIMADO]]</f>
        <v>0</v>
      </c>
    </row>
    <row r="59" spans="2:10" ht="25.95" customHeight="1" x14ac:dyDescent="0.25">
      <c r="B59" s="21" t="s">
        <v>32</v>
      </c>
      <c r="C59" s="22" t="s">
        <v>42</v>
      </c>
      <c r="D59" s="22" t="s">
        <v>43</v>
      </c>
      <c r="E59" s="23" t="s">
        <v>44</v>
      </c>
      <c r="F59" s="26"/>
      <c r="G59" s="11" t="s">
        <v>11</v>
      </c>
      <c r="H59" s="12">
        <v>0</v>
      </c>
      <c r="I59" s="12">
        <v>0</v>
      </c>
      <c r="J59" s="25">
        <f>TBL_Stationery[[#This Row],[REAL]]-TBL_Stationery[[#This Row],[ESTIMADO]]</f>
        <v>0</v>
      </c>
    </row>
    <row r="60" spans="2:10" ht="25.95" customHeight="1" x14ac:dyDescent="0.25">
      <c r="B60" s="11" t="s">
        <v>33</v>
      </c>
      <c r="C60" s="12">
        <v>300</v>
      </c>
      <c r="D60" s="12">
        <v>300</v>
      </c>
      <c r="E60" s="25">
        <f>TBL_OtherExpenses[[#This Row],[REAL]]-TBL_OtherExpenses[[#This Row],[ESTIMADO]]</f>
        <v>0</v>
      </c>
      <c r="F60" s="26"/>
      <c r="G60" s="21" t="s">
        <v>77</v>
      </c>
      <c r="H60" s="22">
        <f>SUBTOTAL(109,TBL_Stationery[ESTIMADO])</f>
        <v>400</v>
      </c>
      <c r="I60" s="22">
        <f>SUBTOTAL(109,TBL_Stationery[REAL])</f>
        <v>400</v>
      </c>
      <c r="J60" s="27">
        <f>SUBTOTAL(109,TBL_Stationery[DIFERENCIA])</f>
        <v>0</v>
      </c>
    </row>
    <row r="61" spans="2:10" ht="25.95" customHeight="1" x14ac:dyDescent="0.25">
      <c r="B61" s="11" t="s">
        <v>34</v>
      </c>
      <c r="C61" s="12">
        <v>0</v>
      </c>
      <c r="D61" s="12">
        <v>0</v>
      </c>
      <c r="E61" s="25">
        <f>TBL_OtherExpenses[[#This Row],[REAL]]-TBL_OtherExpenses[[#This Row],[ESTIMADO]]</f>
        <v>0</v>
      </c>
      <c r="F61" s="26"/>
      <c r="G61" s="31"/>
      <c r="H61" s="31"/>
      <c r="I61" s="31"/>
      <c r="J61" s="31"/>
    </row>
    <row r="62" spans="2:10" ht="25.95" customHeight="1" x14ac:dyDescent="0.25">
      <c r="B62" s="11" t="s">
        <v>35</v>
      </c>
      <c r="C62" s="12">
        <v>0</v>
      </c>
      <c r="D62" s="12">
        <v>0</v>
      </c>
      <c r="E62" s="25">
        <f>TBL_OtherExpenses[[#This Row],[REAL]]-TBL_OtherExpenses[[#This Row],[ESTIMADO]]</f>
        <v>0</v>
      </c>
      <c r="F62" s="26"/>
      <c r="G62" s="31"/>
      <c r="H62" s="31"/>
      <c r="I62" s="31"/>
      <c r="J62" s="31"/>
    </row>
    <row r="63" spans="2:10" ht="25.95" customHeight="1" x14ac:dyDescent="0.25">
      <c r="B63" s="11" t="s">
        <v>36</v>
      </c>
      <c r="C63" s="12">
        <v>0</v>
      </c>
      <c r="D63" s="12">
        <v>0</v>
      </c>
      <c r="E63" s="25">
        <f>TBL_OtherExpenses[[#This Row],[REAL]]-TBL_OtherExpenses[[#This Row],[ESTIMADO]]</f>
        <v>0</v>
      </c>
      <c r="F63" s="26"/>
      <c r="G63" s="21" t="s">
        <v>78</v>
      </c>
      <c r="H63" s="22" t="s">
        <v>42</v>
      </c>
      <c r="I63" s="22" t="s">
        <v>43</v>
      </c>
      <c r="J63" s="23" t="s">
        <v>44</v>
      </c>
    </row>
    <row r="64" spans="2:10" ht="25.95" customHeight="1" x14ac:dyDescent="0.25">
      <c r="B64" s="11" t="s">
        <v>37</v>
      </c>
      <c r="C64" s="12">
        <v>0</v>
      </c>
      <c r="D64" s="12">
        <v>0</v>
      </c>
      <c r="E64" s="25">
        <f>TBL_OtherExpenses[[#This Row],[REAL]]-TBL_OtherExpenses[[#This Row],[ESTIMADO]]</f>
        <v>0</v>
      </c>
      <c r="F64" s="26"/>
      <c r="G64" s="11" t="s">
        <v>79</v>
      </c>
      <c r="H64" s="12">
        <v>900</v>
      </c>
      <c r="I64" s="12">
        <v>900</v>
      </c>
      <c r="J64" s="25">
        <f>TBL_Transportation[[#This Row],[REAL]]-TBL_Transportation[[#This Row],[ESTIMADO]]</f>
        <v>0</v>
      </c>
    </row>
    <row r="65" spans="2:10" ht="25.95" customHeight="1" x14ac:dyDescent="0.25">
      <c r="B65" s="11" t="s">
        <v>38</v>
      </c>
      <c r="C65" s="12">
        <v>0</v>
      </c>
      <c r="D65" s="12">
        <v>0</v>
      </c>
      <c r="E65" s="25">
        <f>TBL_OtherExpenses[[#This Row],[REAL]]-TBL_OtherExpenses[[#This Row],[ESTIMADO]]</f>
        <v>0</v>
      </c>
      <c r="F65" s="26"/>
      <c r="G65" s="11" t="s">
        <v>80</v>
      </c>
      <c r="H65" s="12">
        <v>200</v>
      </c>
      <c r="I65" s="12">
        <v>200</v>
      </c>
      <c r="J65" s="25">
        <f>TBL_Transportation[[#This Row],[REAL]]-TBL_Transportation[[#This Row],[ESTIMADO]]</f>
        <v>0</v>
      </c>
    </row>
    <row r="66" spans="2:10" ht="25.95" customHeight="1" x14ac:dyDescent="0.25">
      <c r="B66" s="11" t="s">
        <v>39</v>
      </c>
      <c r="C66" s="12">
        <v>0</v>
      </c>
      <c r="D66" s="12">
        <v>0</v>
      </c>
      <c r="E66" s="25">
        <f>TBL_OtherExpenses[[#This Row],[REAL]]-TBL_OtherExpenses[[#This Row],[ESTIMADO]]</f>
        <v>0</v>
      </c>
      <c r="F66" s="26"/>
      <c r="G66" s="11" t="s">
        <v>81</v>
      </c>
      <c r="H66" s="12">
        <v>350</v>
      </c>
      <c r="I66" s="12">
        <v>300</v>
      </c>
      <c r="J66" s="25">
        <f>TBL_Transportation[[#This Row],[REAL]]-TBL_Transportation[[#This Row],[ESTIMADO]]</f>
        <v>-50</v>
      </c>
    </row>
    <row r="67" spans="2:10" ht="25.95" customHeight="1" x14ac:dyDescent="0.25">
      <c r="B67" s="11" t="s">
        <v>40</v>
      </c>
      <c r="C67" s="12">
        <v>0</v>
      </c>
      <c r="D67" s="12">
        <v>0</v>
      </c>
      <c r="E67" s="25">
        <f>TBL_OtherExpenses[[#This Row],[REAL]]-TBL_OtherExpenses[[#This Row],[ESTIMADO]]</f>
        <v>0</v>
      </c>
      <c r="F67" s="26"/>
      <c r="G67" s="11" t="s">
        <v>11</v>
      </c>
      <c r="H67" s="12">
        <v>0</v>
      </c>
      <c r="I67" s="12">
        <v>0</v>
      </c>
      <c r="J67" s="25">
        <f>TBL_Transportation[[#This Row],[REAL]]-TBL_Transportation[[#This Row],[ESTIMADO]]</f>
        <v>0</v>
      </c>
    </row>
    <row r="68" spans="2:10" ht="25.95" customHeight="1" x14ac:dyDescent="0.25">
      <c r="B68" s="21" t="s">
        <v>41</v>
      </c>
      <c r="C68" s="22">
        <f>SUBTOTAL(109,TBL_OtherExpenses[ESTIMADO])</f>
        <v>300</v>
      </c>
      <c r="D68" s="22">
        <f>SUBTOTAL(109,TBL_OtherExpenses[REAL])</f>
        <v>300</v>
      </c>
      <c r="E68" s="27">
        <f>SUBTOTAL(109,TBL_OtherExpenses[DIFERENCIA])</f>
        <v>0</v>
      </c>
      <c r="F68" s="26"/>
      <c r="G68" s="21" t="s">
        <v>82</v>
      </c>
      <c r="H68" s="22">
        <f>SUBTOTAL(109,TBL_Transportation[ESTIMADO])</f>
        <v>1450</v>
      </c>
      <c r="I68" s="22">
        <f>SUBTOTAL(109,TBL_Transportation[REAL])</f>
        <v>1400</v>
      </c>
      <c r="J68" s="27">
        <f>SUBTOTAL(109,TBL_Transportation[DIFERENCIA])</f>
        <v>-50</v>
      </c>
    </row>
    <row r="69" spans="2:10" ht="16.2" customHeight="1" x14ac:dyDescent="0.25">
      <c r="C69" s="32"/>
      <c r="D69" s="32"/>
      <c r="E69" s="26"/>
      <c r="F69" s="26"/>
      <c r="G69" s="33"/>
      <c r="H69" s="32"/>
      <c r="I69" s="32"/>
      <c r="J69" s="26"/>
    </row>
    <row r="70" spans="2:10" ht="16.2" customHeight="1" x14ac:dyDescent="0.25">
      <c r="C70" s="5"/>
      <c r="D70" s="5"/>
      <c r="H70" s="5"/>
      <c r="I70" s="5"/>
    </row>
    <row r="71" spans="2:10" ht="16.2" customHeight="1" x14ac:dyDescent="0.25">
      <c r="C71" s="5"/>
      <c r="D71" s="5"/>
      <c r="H71" s="5"/>
      <c r="I71" s="5"/>
    </row>
    <row r="72" spans="2:10" ht="16.2" customHeight="1" x14ac:dyDescent="0.25">
      <c r="C72" s="5"/>
      <c r="D72" s="5"/>
      <c r="H72" s="5"/>
      <c r="I72" s="5"/>
    </row>
    <row r="73" spans="2:10" ht="16.2" customHeight="1" x14ac:dyDescent="0.25">
      <c r="C73" s="5"/>
      <c r="D73" s="5"/>
      <c r="H73" s="5"/>
      <c r="I73" s="5"/>
    </row>
    <row r="74" spans="2:10" ht="16.2" customHeight="1" x14ac:dyDescent="0.25">
      <c r="C74" s="5"/>
      <c r="D74" s="5"/>
      <c r="H74" s="5"/>
      <c r="I74" s="5"/>
    </row>
    <row r="75" spans="2:10" ht="16.2" customHeight="1" x14ac:dyDescent="0.25">
      <c r="C75" s="5"/>
      <c r="D75" s="5"/>
      <c r="H75" s="5"/>
      <c r="I75" s="5"/>
    </row>
    <row r="76" spans="2:10" ht="16.2" customHeight="1" x14ac:dyDescent="0.25">
      <c r="C76" s="5"/>
      <c r="D76" s="5"/>
      <c r="H76" s="5"/>
      <c r="I76" s="5"/>
    </row>
    <row r="77" spans="2:10" ht="16.2" customHeight="1" x14ac:dyDescent="0.25">
      <c r="C77" s="5"/>
      <c r="D77" s="5"/>
      <c r="H77" s="5"/>
      <c r="I77" s="5"/>
    </row>
    <row r="78" spans="2:10" ht="16.2" customHeight="1" x14ac:dyDescent="0.25">
      <c r="C78" s="5"/>
      <c r="D78" s="5"/>
      <c r="H78" s="5"/>
      <c r="I78" s="5"/>
    </row>
    <row r="79" spans="2:10" ht="16.2" customHeight="1" x14ac:dyDescent="0.25">
      <c r="C79" s="5"/>
      <c r="D79" s="5"/>
      <c r="H79" s="5"/>
      <c r="I79" s="5"/>
    </row>
    <row r="80" spans="2:10" ht="16.2" customHeight="1" x14ac:dyDescent="0.25">
      <c r="C80" s="5"/>
      <c r="D80" s="5"/>
      <c r="H80" s="5"/>
      <c r="I80" s="5"/>
    </row>
    <row r="81" spans="3:9" ht="16.2" customHeight="1" x14ac:dyDescent="0.25">
      <c r="C81" s="5"/>
      <c r="D81" s="5"/>
      <c r="H81" s="5"/>
      <c r="I81" s="5"/>
    </row>
    <row r="82" spans="3:9" ht="16.2" customHeight="1" x14ac:dyDescent="0.25">
      <c r="C82" s="5"/>
      <c r="D82" s="5"/>
      <c r="H82" s="5"/>
      <c r="I82" s="5"/>
    </row>
    <row r="83" spans="3:9" ht="16.2" customHeight="1" x14ac:dyDescent="0.25">
      <c r="C83" s="5"/>
      <c r="D83" s="5"/>
      <c r="H83" s="5"/>
      <c r="I83" s="5"/>
    </row>
    <row r="84" spans="3:9" ht="16.2" customHeight="1" x14ac:dyDescent="0.25">
      <c r="C84" s="5"/>
      <c r="D84" s="5"/>
      <c r="H84" s="5"/>
      <c r="I84" s="5"/>
    </row>
    <row r="85" spans="3:9" ht="16.2" customHeight="1" x14ac:dyDescent="0.25">
      <c r="C85" s="5"/>
      <c r="D85" s="5"/>
      <c r="H85" s="5"/>
      <c r="I85" s="5"/>
    </row>
    <row r="86" spans="3:9" ht="16.2" customHeight="1" x14ac:dyDescent="0.25">
      <c r="C86" s="5"/>
      <c r="D86" s="5"/>
      <c r="H86" s="5"/>
      <c r="I86" s="5"/>
    </row>
    <row r="87" spans="3:9" ht="16.2" customHeight="1" x14ac:dyDescent="0.25">
      <c r="C87" s="5"/>
      <c r="D87" s="5"/>
      <c r="H87" s="5"/>
      <c r="I87" s="5"/>
    </row>
    <row r="88" spans="3:9" ht="16.2" customHeight="1" x14ac:dyDescent="0.25">
      <c r="C88" s="5"/>
      <c r="D88" s="5"/>
      <c r="H88" s="5"/>
      <c r="I88" s="5"/>
    </row>
    <row r="89" spans="3:9" ht="16.2" customHeight="1" x14ac:dyDescent="0.25">
      <c r="C89" s="5"/>
      <c r="D89" s="5"/>
      <c r="H89" s="5"/>
      <c r="I89" s="5"/>
    </row>
    <row r="90" spans="3:9" ht="16.2" customHeight="1" x14ac:dyDescent="0.25">
      <c r="C90" s="5"/>
      <c r="D90" s="5"/>
      <c r="H90" s="5"/>
      <c r="I90" s="5"/>
    </row>
    <row r="91" spans="3:9" ht="16.2" customHeight="1" x14ac:dyDescent="0.25">
      <c r="C91" s="5"/>
      <c r="D91" s="5"/>
      <c r="H91" s="5"/>
      <c r="I91" s="5"/>
    </row>
    <row r="92" spans="3:9" ht="16.2" customHeight="1" x14ac:dyDescent="0.25">
      <c r="C92" s="5"/>
      <c r="D92" s="5"/>
      <c r="H92" s="5"/>
      <c r="I92" s="5"/>
    </row>
    <row r="93" spans="3:9" ht="16.2" customHeight="1" x14ac:dyDescent="0.25">
      <c r="C93" s="5"/>
      <c r="D93" s="5"/>
      <c r="H93" s="5"/>
      <c r="I93" s="5"/>
    </row>
    <row r="94" spans="3:9" ht="16.2" customHeight="1" x14ac:dyDescent="0.25">
      <c r="C94" s="5"/>
      <c r="D94" s="5"/>
      <c r="H94" s="5"/>
      <c r="I94" s="5"/>
    </row>
    <row r="95" spans="3:9" ht="16.2" customHeight="1" x14ac:dyDescent="0.25">
      <c r="C95" s="5"/>
      <c r="D95" s="5"/>
      <c r="H95" s="5"/>
      <c r="I95" s="5"/>
    </row>
    <row r="96" spans="3:9" ht="16.2" customHeight="1" x14ac:dyDescent="0.25">
      <c r="C96" s="5"/>
      <c r="D96" s="5"/>
      <c r="H96" s="5"/>
      <c r="I96" s="5"/>
    </row>
    <row r="97" spans="3:9" ht="16.2" customHeight="1" x14ac:dyDescent="0.25">
      <c r="C97" s="5"/>
      <c r="D97" s="5"/>
      <c r="H97" s="5"/>
      <c r="I97" s="5"/>
    </row>
    <row r="98" spans="3:9" ht="16.2" customHeight="1" x14ac:dyDescent="0.25">
      <c r="C98" s="5"/>
      <c r="D98" s="5"/>
      <c r="H98" s="5"/>
      <c r="I98" s="5"/>
    </row>
    <row r="99" spans="3:9" ht="16.2" customHeight="1" x14ac:dyDescent="0.25">
      <c r="C99" s="5"/>
      <c r="D99" s="5"/>
      <c r="H99" s="5"/>
      <c r="I99" s="5"/>
    </row>
    <row r="100" spans="3:9" ht="16.2" customHeight="1" x14ac:dyDescent="0.25">
      <c r="C100" s="5"/>
      <c r="D100" s="5"/>
      <c r="H100" s="5"/>
      <c r="I100" s="5"/>
    </row>
    <row r="101" spans="3:9" ht="16.2" customHeight="1" x14ac:dyDescent="0.25">
      <c r="C101" s="5"/>
      <c r="D101" s="5"/>
      <c r="H101" s="5"/>
      <c r="I101" s="5"/>
    </row>
    <row r="102" spans="3:9" ht="16.2" customHeight="1" x14ac:dyDescent="0.25">
      <c r="C102" s="5"/>
      <c r="D102" s="5"/>
      <c r="H102" s="5"/>
      <c r="I102" s="5"/>
    </row>
  </sheetData>
  <mergeCells count="1">
    <mergeCell ref="B1:D2"/>
  </mergeCells>
  <phoneticPr fontId="19"/>
  <conditionalFormatting sqref="E5:E15 E20:E28 E32:E36 E40:E43 E47:E56 E60:E68 J20:J26 J30:J36 J40:J46 J50:J60 J64:J68">
    <cfRule type="iconSet" priority="9">
      <iconSet iconSet="3ArrowsGray" showValue="0">
        <cfvo type="percent" val="0"/>
        <cfvo type="num" val="0"/>
        <cfvo type="num" val="0" gte="0"/>
      </iconSet>
    </cfRule>
  </conditionalFormatting>
  <dataValidations count="13">
    <dataValidation allowBlank="1" showInputMessage="1" showErrorMessage="1" prompt="Gráfico que resume los gastos reales organizados en orden descendente" sqref="G5" xr:uid="{00000000-0002-0000-0000-000000000000}"/>
    <dataValidation allowBlank="1" showInputMessage="1" showErrorMessage="1" prompt="Introduzca los detalles del presupuesto en la categoría Vestimenta" sqref="B19" xr:uid="{00000000-0002-0000-0000-000003000000}"/>
    <dataValidation allowBlank="1" showInputMessage="1" showErrorMessage="1" prompt="Introduzca los detalles del presupuesto en la categoría Regalos" sqref="B31" xr:uid="{00000000-0002-0000-0000-000004000000}"/>
    <dataValidation allowBlank="1" showInputMessage="1" showErrorMessage="1" prompt="Introduzca los detalles del presupuesto en la categoría Música" sqref="B39" xr:uid="{00000000-0002-0000-0000-000005000000}"/>
    <dataValidation allowBlank="1" showInputMessage="1" showErrorMessage="1" prompt="Introduzca los detalles del presupuesto en la categoría Banquete" sqref="B46" xr:uid="{00000000-0002-0000-0000-000006000000}"/>
    <dataValidation allowBlank="1" showInputMessage="1" showErrorMessage="1" prompt="Introduzca los detalles del presupuesto en Otros gastos" sqref="B59" xr:uid="{00000000-0002-0000-0000-000007000000}"/>
    <dataValidation allowBlank="1" showInputMessage="1" showErrorMessage="1" prompt="Introduzca los detalles del presupuesto en la categoría Decoración" sqref="G19" xr:uid="{00000000-0002-0000-0000-000008000000}"/>
    <dataValidation allowBlank="1" showInputMessage="1" showErrorMessage="1" prompt="Introduzca los detalles del presupuesto en la categoría Flores" sqref="G29" xr:uid="{00000000-0002-0000-0000-000009000000}"/>
    <dataValidation allowBlank="1" showInputMessage="1" showErrorMessage="1" prompt="Introduzca los detalles del presupuesto en la categoría Fotografía" sqref="G39" xr:uid="{00000000-0002-0000-0000-00000A000000}"/>
    <dataValidation allowBlank="1" showInputMessage="1" showErrorMessage="1" prompt="Introduzca los detalles del presupuesto en la categoría Papelería e impresión" sqref="G49" xr:uid="{00000000-0002-0000-0000-00000B000000}"/>
    <dataValidation allowBlank="1" showInputMessage="1" showErrorMessage="1" prompt="Introduzca los detalles del presupuesto en la categoría Transporte" sqref="G63" xr:uid="{00000000-0002-0000-0000-00000C000000}"/>
    <dataValidation allowBlank="1" showInputMessage="1" showErrorMessage="1" prompt="Las categorías de esta lista se corresponden a las tablas siguientes. Actualice la información en ellas para que los datos de esta tabla se actualicen automáticamente. Las fórmulas de esta tabla están conectadas a las tablas relacionadas a continuación." sqref="B4" xr:uid="{08549B67-1452-4EB6-BE6D-1E91DB254F37}"/>
    <dataValidation allowBlank="1" showInputMessage="1" showErrorMessage="1" prompt="La información de esta columna de la tabla Resumen se calcula automáticamente en función de la información proporcionada en las tablas de datos siguientes." sqref="C4:E4" xr:uid="{00000000-0002-0000-0000-000002000000}"/>
  </dataValidations>
  <printOptions horizontalCentered="1"/>
  <pageMargins left="0.4" right="0.4" top="0.4" bottom="0.4" header="0.3" footer="0.3"/>
  <pageSetup paperSize="9" scale="44" orientation="portrait" horizontalDpi="4294967293" r:id="rId1"/>
  <ignoredErrors>
    <ignoredError sqref="J30:J35 E32:E35 B20:E27 G20:J25 B5:E14 B40:E42 G40:J45 B47:E55 G50:J59 B60:E67 J64 G65:J67 G64:I64" calculatedColumn="1"/>
  </ignoredErrors>
  <drawing r:id="rId2"/>
  <tableParts count="11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09955C-637F-42E9-976F-6842700736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6B724C-F57C-4A8E-9758-C56B001FDF5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3.xml><?xml version="1.0" encoding="utf-8"?>
<ds:datastoreItem xmlns:ds="http://schemas.openxmlformats.org/officeDocument/2006/customXml" ds:itemID="{040A2994-42C4-4EE3-9A4B-403132EFDB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TM22305013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 para boda</vt:lpstr>
      <vt:lpstr>'Presupuesto para boda'!Área_de_impresión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2022-11-28T06:21:19Z</dcterms:created>
  <dcterms:modified xsi:type="dcterms:W3CDTF">2024-06-06T00:50:38Z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